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 Sá\Desktop\Nova pasta (2)\"/>
    </mc:Choice>
  </mc:AlternateContent>
  <xr:revisionPtr revIDLastSave="0" documentId="13_ncr:1_{2B0DE6C3-5F82-4E34-8CE0-C971EA752010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Bob the Builder" sheetId="2" r:id="rId1"/>
    <sheet name="Movies" sheetId="1" r:id="rId2"/>
    <sheet name="Poohsticks" sheetId="3" r:id="rId3"/>
    <sheet name="Richest people" sheetId="4" r:id="rId4"/>
    <sheet name="Forecast" sheetId="5" r:id="rId5"/>
    <sheet name="Tallest Buildings" sheetId="9" r:id="rId6"/>
    <sheet name="Forecasting" sheetId="8" r:id="rId7"/>
    <sheet name="Holiday Costing" sheetId="6" r:id="rId8"/>
    <sheet name="Muffin Man" sheetId="7" r:id="rId9"/>
    <sheet name="Pesko Pay" sheetId="10" r:id="rId10"/>
    <sheet name="Pesko Vouch" sheetId="11" r:id="rId11"/>
    <sheet name="Archery Shoot Out" sheetId="12" r:id="rId12"/>
    <sheet name="Concert Tickets" sheetId="15" r:id="rId13"/>
    <sheet name="Sales reps" sheetId="16" r:id="rId14"/>
  </sheets>
  <definedNames>
    <definedName name="Adult_Ticket_Price">'Concert Tickets'!$B$11</definedName>
    <definedName name="Adult_Ticket_Sales">'Concert Tickets'!$B$4:$B$9</definedName>
    <definedName name="Age">'Richest people'!$D$4:$D$13</definedName>
    <definedName name="Amount">'Pesko Vouch'!$B$4:$B$15</definedName>
    <definedName name="Average_Score">Poohsticks!$F$3:$F$11</definedName>
    <definedName name="Average_ticket_price">Movies!$H$3</definedName>
    <definedName name="Basic_Profits">Forecasting!$C$26</definedName>
    <definedName name="Budget">Movies!$C$3:$C$22</definedName>
    <definedName name="Building">'Tallest Buildings'!$B$3:$B$100</definedName>
    <definedName name="Building_type">'Tallest Buildings'!$G$3:$G$100</definedName>
    <definedName name="Child_Ticket_Price">'Concert Tickets'!$B$12</definedName>
    <definedName name="Child_Ticket_Sales">'Concert Tickets'!$C$4:$C$9</definedName>
    <definedName name="City">'Tallest Buildings'!$C$3:$C$100</definedName>
    <definedName name="Commission_Rates">'Sales reps'!$D$4:$M$4</definedName>
    <definedName name="Concession_Ticket_Price">'Concert Tickets'!$B$13</definedName>
    <definedName name="Concession_Ticket_Sales">'Concert Tickets'!$D$4:$D$9</definedName>
    <definedName name="Cost">'Tallest Buildings'!$J$3:$J$100</definedName>
    <definedName name="Cost_per_Metre">'Tallest Buildings'!$L$3:$L$100</definedName>
    <definedName name="Cost_per_Storey">'Tallest Buildings'!$K$3:$K$100</definedName>
    <definedName name="Costs">'Muffin Man'!$D$4:$D$6</definedName>
    <definedName name="Country">'Tallest Buildings'!$D$3:$D$100</definedName>
    <definedName name="Decade">'Tallest Buildings'!$F$3:$F$100</definedName>
    <definedName name="Direct_Costs">Forecasting!$C$24</definedName>
    <definedName name="Donation_per_point">Poohsticks!$I$3</definedName>
    <definedName name="Euros">'Holiday Costing'!$B$4:$B$12</definedName>
    <definedName name="Exchange_Rate">'Holiday Costing'!$F$4</definedName>
    <definedName name="Growth" localSheetId="6">Forecasting!$G$23</definedName>
    <definedName name="Growth">Forecast!$G$7</definedName>
    <definedName name="Hourly_Pay_Rate">'Pesko Pay'!$B$19</definedName>
    <definedName name="Hours">'Bob the Builder'!$D$8:$D$18</definedName>
    <definedName name="Hours_Worked">'Pesko Pay'!$D$4:$D$15</definedName>
    <definedName name="Indirect_Costs">Forecasting!$C$25</definedName>
    <definedName name="Ingredients">'Muffin Man'!$B$9</definedName>
    <definedName name="Inner_Gold">'Archery Shoot Out'!$C$4:$C$11</definedName>
    <definedName name="Inner_Gold_Points">'Archery Shoot Out'!$G$14:$G$14</definedName>
    <definedName name="Inner_Red">'Archery Shoot Out'!$E$4:$E$11</definedName>
    <definedName name="Inner_Red_Points">'Archery Shoot Out'!$G$16</definedName>
    <definedName name="Matches_Played">Poohsticks!$E$3:$E$11</definedName>
    <definedName name="Metres">'Tallest Buildings'!$I$3:$I$100</definedName>
    <definedName name="Nat_Ins">'Pesko Pay'!$F$4:$F$15</definedName>
    <definedName name="Nat_Ins_Rate">'Pesko Pay'!$B$20</definedName>
    <definedName name="Outer_Gold">'Archery Shoot Out'!$D$4:$D$11</definedName>
    <definedName name="Outer_Gold_Points">'Archery Shoot Out'!$G$15</definedName>
    <definedName name="Outer_Red">'Archery Shoot Out'!$F$4:$F$11</definedName>
    <definedName name="Outer_Red_Points">'Archery Shoot Out'!$G$17</definedName>
    <definedName name="Overheads">'Muffin Man'!$B$11</definedName>
    <definedName name="Pay">'Pesko Pay'!$E$4:$E$15</definedName>
    <definedName name="Poohsticks_score">Poohsticks!$D$3:$D$11</definedName>
    <definedName name="Profit">Movies!$E$3:$E$22</definedName>
    <definedName name="Project_Basic_Profits">Forecast!$C$10</definedName>
    <definedName name="Project_Direct_Costs">Forecast!$C$8</definedName>
    <definedName name="Project_Indirect_Costs">Forecast!$C$9</definedName>
    <definedName name="Project_Sales">Forecast!$C$7</definedName>
    <definedName name="Projected_Direct_Costs" localSheetId="4">Forecasting!$D$24</definedName>
    <definedName name="Projected_Direct_Costs_Forecasting">Forecasting!$D$24</definedName>
    <definedName name="Projected_Indirect_Costs_Forecasting">Forecasting!$D$25</definedName>
    <definedName name="Projected_Sales" localSheetId="4">Forecasting!$D$23</definedName>
    <definedName name="Projected_Sales_Forecasting">Forecasting!$D$23</definedName>
    <definedName name="Rate">'Bob the Builder'!$G$8</definedName>
    <definedName name="Revenue" localSheetId="12">'Concert Tickets'!$E$4:$E$8</definedName>
    <definedName name="Revenue">'Muffin Man'!$C$4:$C$6</definedName>
    <definedName name="Sale_Price">'Muffin Man'!$B$10</definedName>
    <definedName name="Sales" localSheetId="6">Forecasting!$C$23</definedName>
    <definedName name="Sales" localSheetId="13">'Sales reps'!$C$5:$C$11</definedName>
    <definedName name="Sales">'Muffin Man'!$B$4:$B$6</definedName>
    <definedName name="Storeys">'Tallest Buildings'!$H$3:$H$100</definedName>
    <definedName name="Tax_Rate">'Pesko Pay'!$B$21</definedName>
    <definedName name="This_Year">Forecast!$C$7:$C$10</definedName>
    <definedName name="Tickets_Sold">Movies!$F$3:$F$22</definedName>
    <definedName name="Utilities_inc" localSheetId="6">Forecasting!$G$25</definedName>
    <definedName name="Utilities_inc">Forecast!$G$9</definedName>
    <definedName name="Vouchers_per__1">'Pesko Vouch'!$F$3</definedName>
    <definedName name="Wages_inc" localSheetId="6">Forecasting!$G$24</definedName>
    <definedName name="Wages_inc">Forecast!$G$8</definedName>
    <definedName name="Wealth___bil">'Richest people'!$E$4:$E$13</definedName>
    <definedName name="Wealth_per_year">'Richest people'!$F$4:$F$13</definedName>
    <definedName name="World_Gross">Movies!$D$3:$D$22</definedName>
    <definedName name="Year">'Tallest Buildings'!$E$3:$E$100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6" l="1" a="1"/>
  <c r="E17" i="16" s="1"/>
  <c r="F17" i="16" a="1"/>
  <c r="F17" i="16" s="1"/>
  <c r="G17" i="16" a="1"/>
  <c r="G17" i="16" s="1"/>
  <c r="H17" i="16" a="1"/>
  <c r="H17" i="16" s="1"/>
  <c r="I17" i="16" a="1"/>
  <c r="I17" i="16" s="1"/>
  <c r="J17" i="16" a="1"/>
  <c r="J17" i="16" s="1"/>
  <c r="K17" i="16" a="1"/>
  <c r="K17" i="16" s="1"/>
  <c r="L17" i="16" a="1"/>
  <c r="L17" i="16" s="1"/>
  <c r="M17" i="16" a="1"/>
  <c r="M17" i="16" s="1"/>
  <c r="D17" i="16" a="1"/>
  <c r="D17" i="16" s="1"/>
  <c r="D5" i="16" a="1"/>
  <c r="D5" i="16" s="1"/>
  <c r="E4" i="15" a="1"/>
  <c r="E4" i="15" s="1"/>
  <c r="D9" i="15"/>
  <c r="C9" i="15"/>
  <c r="B9" i="15"/>
  <c r="G4" i="12" a="1"/>
  <c r="G4" i="12" s="1"/>
  <c r="C4" i="11" a="1"/>
  <c r="C4" i="11" s="1"/>
  <c r="G4" i="10" a="1"/>
  <c r="G4" i="10" s="1"/>
  <c r="G16" i="10" s="1"/>
  <c r="F4" i="10" a="1"/>
  <c r="F4" i="10" s="1"/>
  <c r="F16" i="10" s="1"/>
  <c r="E4" i="10" a="1"/>
  <c r="E4" i="10" s="1"/>
  <c r="D16" i="10"/>
  <c r="H6" i="10" l="1"/>
  <c r="H7" i="10"/>
  <c r="H14" i="10"/>
  <c r="H5" i="10"/>
  <c r="H8" i="10"/>
  <c r="H9" i="10"/>
  <c r="H10" i="10"/>
  <c r="H11" i="10"/>
  <c r="H12" i="10"/>
  <c r="H13" i="10"/>
  <c r="H15" i="10"/>
  <c r="H4" i="10"/>
  <c r="E16" i="10"/>
  <c r="D26" i="8"/>
  <c r="C30" i="8"/>
  <c r="C29" i="8"/>
  <c r="C28" i="8"/>
  <c r="D23" i="8"/>
  <c r="D25" i="8"/>
  <c r="D24" i="8"/>
  <c r="L105" i="9"/>
  <c r="L104" i="9"/>
  <c r="K105" i="9"/>
  <c r="K104" i="9"/>
  <c r="L103" i="9"/>
  <c r="K103" i="9"/>
  <c r="L102" i="9"/>
  <c r="K102" i="9"/>
  <c r="L3" i="9" a="1"/>
  <c r="L3" i="9" s="1"/>
  <c r="K3" i="9" a="1"/>
  <c r="K3" i="9" s="1"/>
  <c r="D4" i="7" a="1"/>
  <c r="D4" i="7" s="1"/>
  <c r="C4" i="7" a="1"/>
  <c r="C4" i="7" s="1"/>
  <c r="E4" i="7" s="1" a="1"/>
  <c r="E4" i="7" s="1"/>
  <c r="C4" i="6" a="1"/>
  <c r="C4" i="6" s="1"/>
  <c r="B12" i="6"/>
  <c r="D10" i="5"/>
  <c r="D9" i="5"/>
  <c r="D8" i="5"/>
  <c r="D7" i="5"/>
  <c r="C10" i="5"/>
  <c r="F16" i="4"/>
  <c r="F15" i="4"/>
  <c r="F4" i="4" a="1"/>
  <c r="F4" i="4" s="1"/>
  <c r="G3" i="3" a="1"/>
  <c r="G3" i="3" s="1"/>
  <c r="F13" i="3"/>
  <c r="F3" i="3" a="1"/>
  <c r="F3" i="3" s="1"/>
  <c r="F25" i="1"/>
  <c r="F24" i="1"/>
  <c r="E25" i="1"/>
  <c r="E24" i="1"/>
  <c r="F3" i="1" a="1"/>
  <c r="F3" i="1" s="1"/>
  <c r="E3" i="1" a="1"/>
  <c r="E3" i="1" s="1"/>
  <c r="E20" i="2"/>
  <c r="E8" i="2" a="1"/>
  <c r="E8" i="2" s="1"/>
  <c r="H16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<sst xmlns="http://schemas.openxmlformats.org/spreadsheetml/2006/main" count="769" uniqueCount="404">
  <si>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</si>
  <si>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</si>
  <si>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</si>
  <si>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</si>
  <si>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</si>
  <si>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</si>
  <si>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</si>
  <si>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</si>
  <si>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</si>
  <si>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</si>
  <si>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</si>
  <si>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</si>
  <si>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</si>
  <si>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</si>
  <si>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</si>
  <si>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</si>
  <si>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</si>
  <si>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</si>
  <si>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</si>
  <si>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</si>
  <si>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</si>
  <si>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</si>
  <si>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Chronicles of Narnia, The</t>
  </si>
  <si>
    <t>Highest</t>
  </si>
  <si>
    <t>Lowest</t>
  </si>
  <si>
    <t>Tickets Sold</t>
  </si>
  <si>
    <t>Average ticket price ($)</t>
  </si>
  <si>
    <t>Bob the Dodgy Builder - Charge Sheet</t>
  </si>
  <si>
    <t>Item</t>
  </si>
  <si>
    <t>Hours</t>
  </si>
  <si>
    <t>Total</t>
  </si>
  <si>
    <t>Rate</t>
  </si>
  <si>
    <t>Removing old plaster</t>
  </si>
  <si>
    <t>Brew time</t>
  </si>
  <si>
    <t>Preparing walls</t>
  </si>
  <si>
    <t>Plastering walls</t>
  </si>
  <si>
    <t>Accidentally knocking off some new plaster</t>
  </si>
  <si>
    <t>Replastering bits knocked off</t>
  </si>
  <si>
    <t>Skimming</t>
  </si>
  <si>
    <t>Clear up</t>
  </si>
  <si>
    <t>Labour total</t>
  </si>
  <si>
    <t>Profit</t>
  </si>
  <si>
    <t>Profit($)</t>
  </si>
  <si>
    <t>Name</t>
  </si>
  <si>
    <t>Animal</t>
  </si>
  <si>
    <t>Poohsticks score</t>
  </si>
  <si>
    <t>Matches Played</t>
  </si>
  <si>
    <t>Average Score</t>
  </si>
  <si>
    <t>Charity Donation</t>
  </si>
  <si>
    <t>Donation per point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</si>
  <si>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</si>
  <si>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</si>
  <si>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</si>
  <si>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</si>
  <si>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</si>
  <si>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</si>
  <si>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</si>
  <si>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</si>
  <si>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</si>
  <si>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</si>
  <si>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</si>
  <si>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</si>
  <si>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</si>
  <si>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Overall average</t>
  </si>
  <si>
    <t>The 10 Richest People in the World 2007</t>
  </si>
  <si>
    <t>Rank</t>
  </si>
  <si>
    <t>Age</t>
  </si>
  <si>
    <t>Wealth ($bil)</t>
  </si>
  <si>
    <t>Wealth per year</t>
  </si>
  <si>
    <t>William Gates III</t>
  </si>
  <si>
    <t>Warren Buffett</t>
  </si>
  <si>
    <t>Carlos Slim Helu</t>
  </si>
  <si>
    <t>Ingvar Kamprad &amp; family</t>
  </si>
  <si>
    <t>Lakshmi Mittal</t>
  </si>
  <si>
    <t>Sheldon Adelson</t>
  </si>
  <si>
    <t>Bernard Arnault</t>
  </si>
  <si>
    <t>Amancio Ortega</t>
  </si>
  <si>
    <t>Li Ka-shing</t>
  </si>
  <si>
    <t>David Thomson &amp; family</t>
  </si>
  <si>
    <t>Average</t>
  </si>
  <si>
    <t>Forecast Figures for Next Year</t>
  </si>
  <si>
    <t>This Year</t>
  </si>
  <si>
    <t>Next Year Projection</t>
  </si>
  <si>
    <t>Sales</t>
  </si>
  <si>
    <t>Growth</t>
  </si>
  <si>
    <t>Wages inc</t>
  </si>
  <si>
    <t>Utilities inc</t>
  </si>
  <si>
    <t>Projected Sales = This Year Sales * Growth%</t>
  </si>
  <si>
    <t>Projected Direct Costs = This Year Direct Costs * Wages inc%</t>
  </si>
  <si>
    <t>Projected Indirect Costs = This Year Indirect Costs * Utilities inc%</t>
  </si>
  <si>
    <t>Projected Basic Profits = Proj Sales - Proj Direct Costs - Proj Indirect Costs</t>
  </si>
  <si>
    <t>Project Sales</t>
  </si>
  <si>
    <t>Project Direct Costs</t>
  </si>
  <si>
    <t>Project Indirect Costs</t>
  </si>
  <si>
    <t>Project Basic Profits</t>
  </si>
  <si>
    <t>Holiday Costing</t>
  </si>
  <si>
    <t>Euros</t>
  </si>
  <si>
    <t>In UK £</t>
  </si>
  <si>
    <t>Hotel</t>
  </si>
  <si>
    <t>Exchange Rate</t>
  </si>
  <si>
    <t>Taxis</t>
  </si>
  <si>
    <t>Meals Out</t>
  </si>
  <si>
    <t>Day Trips</t>
  </si>
  <si>
    <t>Jewellery</t>
  </si>
  <si>
    <t>Car Hire</t>
  </si>
  <si>
    <t>Petrol</t>
  </si>
  <si>
    <t>Presents</t>
  </si>
  <si>
    <t>TOTAL COST</t>
  </si>
  <si>
    <t>Basic Business Plan for The Cycling Muffin Man - First Month</t>
  </si>
  <si>
    <t>Revenue</t>
  </si>
  <si>
    <t>Costs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</si>
  <si>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</si>
  <si>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</si>
  <si>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</si>
  <si>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</si>
  <si>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</si>
  <si>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</si>
  <si>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</si>
  <si>
    <t>Revenue = Sales * Sale Price</t>
  </si>
  <si>
    <t>Costs = (Ingredients * Sales) + (Overheads * Sales)</t>
  </si>
  <si>
    <t>Profits = Revenue - Costs</t>
  </si>
  <si>
    <t>Building</t>
  </si>
  <si>
    <t>City</t>
  </si>
  <si>
    <t>Country</t>
  </si>
  <si>
    <t>Year</t>
  </si>
  <si>
    <t>Decade</t>
  </si>
  <si>
    <t>Building type</t>
  </si>
  <si>
    <t>Storeys</t>
  </si>
  <si>
    <t>Metres</t>
  </si>
  <si>
    <t>Cost</t>
  </si>
  <si>
    <t>Cost per Storey</t>
  </si>
  <si>
    <t>Cost per Metre</t>
  </si>
  <si>
    <t>Woolworth Building</t>
  </si>
  <si>
    <t>New York</t>
  </si>
  <si>
    <t>United States</t>
  </si>
  <si>
    <t>1910s</t>
  </si>
  <si>
    <t>Normal</t>
  </si>
  <si>
    <t>G.E. Building</t>
  </si>
  <si>
    <t>1930s</t>
  </si>
  <si>
    <t>40 Wall Street</t>
  </si>
  <si>
    <t>American International Building</t>
  </si>
  <si>
    <t>Chrysler Building</t>
  </si>
  <si>
    <t>Large</t>
  </si>
  <si>
    <t>Empire State Building</t>
  </si>
  <si>
    <t>Palace of Culture and Science</t>
  </si>
  <si>
    <t>Warsaw</t>
  </si>
  <si>
    <t>Poland</t>
  </si>
  <si>
    <t>1950s</t>
  </si>
  <si>
    <t>Moscow State University</t>
  </si>
  <si>
    <t>Moscow</t>
  </si>
  <si>
    <t>Russia</t>
  </si>
  <si>
    <t>Bank of America Center</t>
  </si>
  <si>
    <t>San Francisco</t>
  </si>
  <si>
    <t>1960s</t>
  </si>
  <si>
    <t>MetLife</t>
  </si>
  <si>
    <t>One Chase Manhattan Plaza</t>
  </si>
  <si>
    <t>One First National Plaza</t>
  </si>
  <si>
    <t>Chicago</t>
  </si>
  <si>
    <t>John Hancock Center</t>
  </si>
  <si>
    <t>IDS Center</t>
  </si>
  <si>
    <t>Minneapolis</t>
  </si>
  <si>
    <t>1970s</t>
  </si>
  <si>
    <t>Canadian Imperial Bank of Commerce</t>
  </si>
  <si>
    <t>Toronto</t>
  </si>
  <si>
    <t>Canada</t>
  </si>
  <si>
    <t>John Hancock Tower</t>
  </si>
  <si>
    <t>Boston</t>
  </si>
  <si>
    <t>USX Tower</t>
  </si>
  <si>
    <t>Pittsburgh</t>
  </si>
  <si>
    <t>Transamerica Pyramid</t>
  </si>
  <si>
    <t>Water Tower Place</t>
  </si>
  <si>
    <t>First Interstate Tower</t>
  </si>
  <si>
    <t>Los Angeles</t>
  </si>
  <si>
    <t>Renaissance Tower</t>
  </si>
  <si>
    <t>Dallas</t>
  </si>
  <si>
    <t>Citicorp Center</t>
  </si>
  <si>
    <t>First Canadian Place</t>
  </si>
  <si>
    <t>Amoco Building</t>
  </si>
  <si>
    <t>Sears Tower</t>
  </si>
  <si>
    <t>Very large</t>
  </si>
  <si>
    <t>Equitable Tower</t>
  </si>
  <si>
    <t>1980s</t>
  </si>
  <si>
    <t>Three First National Plaza</t>
  </si>
  <si>
    <t>Kompleks Tun Abdul Razak Building</t>
  </si>
  <si>
    <t>Penang</t>
  </si>
  <si>
    <t>Malaysia</t>
  </si>
  <si>
    <t>Heritage Plaza</t>
  </si>
  <si>
    <t>Houston</t>
  </si>
  <si>
    <t>Norwest Center</t>
  </si>
  <si>
    <t>Treasury Building</t>
  </si>
  <si>
    <t>Singapore City</t>
  </si>
  <si>
    <t>Singapore</t>
  </si>
  <si>
    <t>Office Towers</t>
  </si>
  <si>
    <t>Caracas</t>
  </si>
  <si>
    <t>Venzuela</t>
  </si>
  <si>
    <t>Worldwide Plaza</t>
  </si>
  <si>
    <t>NationsBank Center</t>
  </si>
  <si>
    <t>Bank One Center</t>
  </si>
  <si>
    <t>Malayan Bank</t>
  </si>
  <si>
    <t>Kuala Lumpur</t>
  </si>
  <si>
    <t>CitySpire</t>
  </si>
  <si>
    <t>Rialto Tower</t>
  </si>
  <si>
    <t>Melbourne</t>
  </si>
  <si>
    <t>Australia</t>
  </si>
  <si>
    <t>Korea Life Insurance Company</t>
  </si>
  <si>
    <t>Seoul</t>
  </si>
  <si>
    <t>South Korea</t>
  </si>
  <si>
    <t>One Atlantic Center</t>
  </si>
  <si>
    <t>Atlanta</t>
  </si>
  <si>
    <t>900 North Michigan Ave.</t>
  </si>
  <si>
    <t>Scotia Plaza</t>
  </si>
  <si>
    <t>Williams Tower</t>
  </si>
  <si>
    <t>Overseas Union Bank Centre</t>
  </si>
  <si>
    <t>NationsBank Plaza</t>
  </si>
  <si>
    <t>Columbia Seafirst Center</t>
  </si>
  <si>
    <t>Seattle</t>
  </si>
  <si>
    <t>One Liberty Place</t>
  </si>
  <si>
    <t>Philadelphia</t>
  </si>
  <si>
    <t>Wells Fargo Plaza</t>
  </si>
  <si>
    <t>Chase Tower</t>
  </si>
  <si>
    <t>AT&amp;T Corporate Center</t>
  </si>
  <si>
    <t>Bank of China Tower</t>
  </si>
  <si>
    <t>Hong Kong</t>
  </si>
  <si>
    <t>China</t>
  </si>
  <si>
    <t>Carnegie Hall Tower</t>
  </si>
  <si>
    <t>1990s</t>
  </si>
  <si>
    <t>Shinjuku Park Tower</t>
  </si>
  <si>
    <t>Tokyo</t>
  </si>
  <si>
    <t>Japan</t>
  </si>
  <si>
    <t>Opera City Tower</t>
  </si>
  <si>
    <t>One Ninety One Peachtree Tower</t>
  </si>
  <si>
    <t>First Bank Place</t>
  </si>
  <si>
    <t>One Canada Square</t>
  </si>
  <si>
    <t>London</t>
  </si>
  <si>
    <t>United Kingdom</t>
  </si>
  <si>
    <t>Empire Tower</t>
  </si>
  <si>
    <t>Mellon Bank Center</t>
  </si>
  <si>
    <t>Tokyo City Hall</t>
  </si>
  <si>
    <t>Shin Kong Life Tower</t>
  </si>
  <si>
    <t>Taipei</t>
  </si>
  <si>
    <t>Taiwan</t>
  </si>
  <si>
    <t>BNI City Tower</t>
  </si>
  <si>
    <t>Jakarta</t>
  </si>
  <si>
    <t>Indonesia</t>
  </si>
  <si>
    <t>World Trade Center</t>
  </si>
  <si>
    <t>Osaka</t>
  </si>
  <si>
    <t>Rinku Gate Tower</t>
  </si>
  <si>
    <t>Messeturm</t>
  </si>
  <si>
    <t>Frankfurt</t>
  </si>
  <si>
    <t>Germany</t>
  </si>
  <si>
    <t>Two Liberty Place</t>
  </si>
  <si>
    <t>BCE Place–Canada Trust Tower</t>
  </si>
  <si>
    <t>SunTrust Plaza</t>
  </si>
  <si>
    <t>NationsBank Corporate Center</t>
  </si>
  <si>
    <t>Charlotte</t>
  </si>
  <si>
    <t>Republic Plaza</t>
  </si>
  <si>
    <t>United Overseas Bank Plaza</t>
  </si>
  <si>
    <t>Sunjoy Tomorrow Square</t>
  </si>
  <si>
    <t>Shanghai</t>
  </si>
  <si>
    <t>Cheung Kong Center</t>
  </si>
  <si>
    <t>Key Tower</t>
  </si>
  <si>
    <t>Cleveland</t>
  </si>
  <si>
    <t>311 South Wacker Drive</t>
  </si>
  <si>
    <t>Landmark Tower</t>
  </si>
  <si>
    <t>Yokohama</t>
  </si>
  <si>
    <t>Commerzbank Tower</t>
  </si>
  <si>
    <t>Ryugyong Hotel</t>
  </si>
  <si>
    <t>Pyongyang</t>
  </si>
  <si>
    <t>North Korea</t>
  </si>
  <si>
    <t>Two Prudential Plaza</t>
  </si>
  <si>
    <t>Library Tower</t>
  </si>
  <si>
    <t>Telekom Malaysia Headquarters</t>
  </si>
  <si>
    <t>Bank of America Plaza</t>
  </si>
  <si>
    <t>Baiyoke Tower II</t>
  </si>
  <si>
    <t>Bangkok</t>
  </si>
  <si>
    <t>Thailand</t>
  </si>
  <si>
    <t>Burj al Arab Hotel</t>
  </si>
  <si>
    <t>Dubai</t>
  </si>
  <si>
    <t>T &amp; C Tower</t>
  </si>
  <si>
    <t>Kaohsiung</t>
  </si>
  <si>
    <t>The Center</t>
  </si>
  <si>
    <t>Central Plaza</t>
  </si>
  <si>
    <t>Shun Hing Square</t>
  </si>
  <si>
    <t>Shenzhen</t>
  </si>
  <si>
    <t>Citic Plaza</t>
  </si>
  <si>
    <t>Guangzhou</t>
  </si>
  <si>
    <t>Jin Mao Building</t>
  </si>
  <si>
    <t>Petronas Tower 1</t>
  </si>
  <si>
    <t>Petronas Tower 2</t>
  </si>
  <si>
    <t>JR Central Towers</t>
  </si>
  <si>
    <t>Nagoya</t>
  </si>
  <si>
    <t>2000s</t>
  </si>
  <si>
    <t>Faisaliah Complex</t>
  </si>
  <si>
    <t>Riyadh</t>
  </si>
  <si>
    <t>Saudi Arabia</t>
  </si>
  <si>
    <t>Plaza66</t>
  </si>
  <si>
    <t>Emirates Tower Two</t>
  </si>
  <si>
    <t>Kingdom Centre</t>
  </si>
  <si>
    <t>Emirates Tower One</t>
  </si>
  <si>
    <t>Totals</t>
  </si>
  <si>
    <t>Averages</t>
  </si>
  <si>
    <t>Direct Costs</t>
  </si>
  <si>
    <t>Indirect Costs</t>
  </si>
  <si>
    <t>Basic Profits</t>
  </si>
  <si>
    <t>Projected Sales</t>
  </si>
  <si>
    <t>Projected Direct Costs</t>
  </si>
  <si>
    <t>Projected Indirect Costs</t>
  </si>
  <si>
    <t>Pesko Part-time Workers Weekly Pay</t>
  </si>
  <si>
    <t>Staff ID</t>
  </si>
  <si>
    <t>Surname</t>
  </si>
  <si>
    <t>Initial</t>
  </si>
  <si>
    <t>Hours Worked</t>
  </si>
  <si>
    <t>Pay</t>
  </si>
  <si>
    <t>Nat Ins</t>
  </si>
  <si>
    <t>Tax</t>
  </si>
  <si>
    <t>Final Pay</t>
  </si>
  <si>
    <t>M/141</t>
  </si>
  <si>
    <t>Abbot</t>
  </si>
  <si>
    <t>R</t>
  </si>
  <si>
    <t>M/289</t>
  </si>
  <si>
    <t>Arlington</t>
  </si>
  <si>
    <t>T</t>
  </si>
  <si>
    <t>F/112</t>
  </si>
  <si>
    <t>Brown</t>
  </si>
  <si>
    <t>F/219</t>
  </si>
  <si>
    <t>Davies</t>
  </si>
  <si>
    <t>F</t>
  </si>
  <si>
    <t>F/881</t>
  </si>
  <si>
    <t>Davis</t>
  </si>
  <si>
    <t>G</t>
  </si>
  <si>
    <t>M/448</t>
  </si>
  <si>
    <t>W</t>
  </si>
  <si>
    <t>F/66</t>
  </si>
  <si>
    <t>Fox</t>
  </si>
  <si>
    <t>S</t>
  </si>
  <si>
    <t>M/557</t>
  </si>
  <si>
    <t>Kelsey</t>
  </si>
  <si>
    <t>A</t>
  </si>
  <si>
    <t>M/44</t>
  </si>
  <si>
    <t>Marsh</t>
  </si>
  <si>
    <t>H</t>
  </si>
  <si>
    <t>M/191</t>
  </si>
  <si>
    <t>Oliver</t>
  </si>
  <si>
    <t>M/352</t>
  </si>
  <si>
    <t>Potts</t>
  </si>
  <si>
    <t>B</t>
  </si>
  <si>
    <t>F/336</t>
  </si>
  <si>
    <t>Taylor</t>
  </si>
  <si>
    <t>M</t>
  </si>
  <si>
    <t>TOTAL</t>
  </si>
  <si>
    <t>Hourly Pay Rate</t>
  </si>
  <si>
    <t>Nat Ins Rate</t>
  </si>
  <si>
    <t>Tax Rate</t>
  </si>
  <si>
    <t>Pay = Hours Worked * (range name for) Hourly Pay Rate</t>
  </si>
  <si>
    <t>Nat Ins = Pay * (range name for) Nat Ins Rate</t>
  </si>
  <si>
    <t>Tax = Pay * (range name for) Tax Rate</t>
  </si>
  <si>
    <t>Pesko Club Card Vouchers</t>
  </si>
  <si>
    <t>Date</t>
  </si>
  <si>
    <t>Amount</t>
  </si>
  <si>
    <t>Club card Vouchers Earned</t>
  </si>
  <si>
    <t>Vouchers per £1</t>
  </si>
  <si>
    <t>£5 = 1 voucher whole vouchers only</t>
  </si>
  <si>
    <t>Archery Shoot-out Competition</t>
  </si>
  <si>
    <t>Competitor</t>
  </si>
  <si>
    <t>Inner Gold</t>
  </si>
  <si>
    <t>Outer Gold</t>
  </si>
  <si>
    <t>Inner Red</t>
  </si>
  <si>
    <t>Outer Red</t>
  </si>
  <si>
    <t>Total Score</t>
  </si>
  <si>
    <t>Sheriff of Nottingham</t>
  </si>
  <si>
    <t>King John</t>
  </si>
  <si>
    <t>Little John</t>
  </si>
  <si>
    <t>King Richard</t>
  </si>
  <si>
    <t>Robin Hood</t>
  </si>
  <si>
    <t>Maid Marion</t>
  </si>
  <si>
    <t>Friar Tuck</t>
  </si>
  <si>
    <t>Alan a Dale</t>
  </si>
  <si>
    <t>Scoring points:</t>
  </si>
  <si>
    <t>Total Score = (In. Gold * In. gold pts) + (Out. Gold * Out. Gold pts) + (In. Red* In. Red pts) + (Out. Red * Out. Red pts)</t>
  </si>
  <si>
    <t>Pontypridd Community Centre Events Income</t>
  </si>
  <si>
    <t>Artist</t>
  </si>
  <si>
    <t>Adult Ticket Sales</t>
  </si>
  <si>
    <t>Child Ticket Sales</t>
  </si>
  <si>
    <t>Concession Ticket Sales</t>
  </si>
  <si>
    <t>Welsh Male Voice Choir</t>
  </si>
  <si>
    <t>Metallica</t>
  </si>
  <si>
    <t>Tom Jones</t>
  </si>
  <si>
    <t>The Bootleg Beatles</t>
  </si>
  <si>
    <t>Bjorn Again</t>
  </si>
  <si>
    <t>CONCERT TOTALS</t>
  </si>
  <si>
    <t>Adult Ticket Price</t>
  </si>
  <si>
    <t>Child Ticket Price</t>
  </si>
  <si>
    <t>Concession Ticket Price</t>
  </si>
  <si>
    <t>Revenue  =  (Adult price * Adult sales) + (Child price * Child sales) + (Concession price * Concession sales)</t>
  </si>
  <si>
    <t>Using Range Names</t>
  </si>
  <si>
    <t>Commission Rates</t>
  </si>
  <si>
    <t>Sleepy</t>
  </si>
  <si>
    <t>Grumpy</t>
  </si>
  <si>
    <t>Dopey</t>
  </si>
  <si>
    <t>Happy</t>
  </si>
  <si>
    <t>Sneezy</t>
  </si>
  <si>
    <t>Bashful</t>
  </si>
  <si>
    <t>Doc</t>
  </si>
  <si>
    <t>Using Absolute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</si>
</sst>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&quot;£&quot;#,##0.00"/>
    <numFmt numFmtId="166" formatCode="_-* #,##0.00\ [$€-816]_-;\-* #,##0.00\ [$€-816]_-;_-* &quot;-&quot;??\ [$€-816]_-;_-@_-"/>
    <numFmt numFmtId="167" formatCode="_-[$$-409]* #,##0.00_ ;_-[$$-409]* \-#,##0.00\ ;_-[$$-409]* &quot;-&quot;??_ ;_-@_ "/>
    <numFmt numFmtId="168" formatCode="_-[$£-809]* #,##0.00_-;\-[$£-809]* #,##0.00_-;_-[$£-809]* &quot;-&quot;??_-;_-@_-"/>
    <numFmt numFmtId="169" formatCode="0.0%"/>
    <numFmt numFmtId="178" formatCode="&quot;£&quot;#,##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0"/>
      <color rgb="FF666666"/>
      <name val="Open Sans"/>
      <family val="2"/>
    </font>
    <font>
      <b/>
      <i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666666"/>
      <name val="Open Sans"/>
      <family val="2"/>
    </font>
    <font>
      <b/>
      <u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212121"/>
      <name val="Open Sans"/>
      <family val="2"/>
    </font>
    <font>
      <i/>
      <sz val="9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5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2" borderId="2" xfId="0" applyFont="1" applyFill="1" applyBorder="1"/>
    <xf numFmtId="0" fontId="0" fillId="3" borderId="12" xfId="0" applyFill="1" applyBorder="1"/>
    <xf numFmtId="0" fontId="0" fillId="3" borderId="6" xfId="0" applyFill="1" applyBorder="1"/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5" xfId="1" applyNumberFormat="1" applyFont="1" applyBorder="1" applyAlignment="1">
      <alignment horizontal="right"/>
    </xf>
    <xf numFmtId="164" fontId="0" fillId="0" borderId="8" xfId="1" applyNumberFormat="1" applyFont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2" xfId="0" applyFill="1" applyBorder="1"/>
    <xf numFmtId="0" fontId="3" fillId="6" borderId="0" xfId="0" applyFont="1" applyFill="1"/>
    <xf numFmtId="0" fontId="0" fillId="5" borderId="5" xfId="0" applyFill="1" applyBorder="1"/>
    <xf numFmtId="0" fontId="0" fillId="5" borderId="0" xfId="0" applyFill="1"/>
    <xf numFmtId="0" fontId="4" fillId="7" borderId="13" xfId="0" applyFont="1" applyFill="1" applyBorder="1"/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0" fillId="8" borderId="12" xfId="0" applyFill="1" applyBorder="1"/>
    <xf numFmtId="0" fontId="0" fillId="9" borderId="9" xfId="0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44" fontId="0" fillId="0" borderId="1" xfId="2" applyFont="1" applyBorder="1"/>
    <xf numFmtId="0" fontId="0" fillId="9" borderId="10" xfId="0" applyFill="1" applyBorder="1" applyAlignment="1">
      <alignment horizontal="center"/>
    </xf>
    <xf numFmtId="0" fontId="0" fillId="8" borderId="6" xfId="0" applyFill="1" applyBorder="1"/>
    <xf numFmtId="0" fontId="0" fillId="9" borderId="11" xfId="0" applyFill="1" applyBorder="1" applyAlignment="1">
      <alignment horizontal="center"/>
    </xf>
    <xf numFmtId="0" fontId="4" fillId="7" borderId="1" xfId="0" applyFont="1" applyFill="1" applyBorder="1"/>
    <xf numFmtId="44" fontId="0" fillId="9" borderId="1" xfId="2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66" fontId="0" fillId="0" borderId="1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0" xfId="0" applyNumberFormat="1" applyBorder="1"/>
    <xf numFmtId="167" fontId="0" fillId="0" borderId="0" xfId="0" applyNumberFormat="1" applyAlignment="1">
      <alignment horizontal="right"/>
    </xf>
    <xf numFmtId="167" fontId="0" fillId="0" borderId="10" xfId="1" applyNumberFormat="1" applyFont="1" applyBorder="1" applyAlignment="1">
      <alignment horizontal="right"/>
    </xf>
    <xf numFmtId="167" fontId="0" fillId="0" borderId="11" xfId="0" applyNumberFormat="1" applyBorder="1"/>
    <xf numFmtId="167" fontId="0" fillId="0" borderId="7" xfId="0" applyNumberFormat="1" applyBorder="1" applyAlignment="1">
      <alignment horizontal="right"/>
    </xf>
    <xf numFmtId="167" fontId="0" fillId="0" borderId="11" xfId="1" applyNumberFormat="1" applyFont="1" applyBorder="1" applyAlignment="1">
      <alignment horizontal="right"/>
    </xf>
    <xf numFmtId="167" fontId="0" fillId="4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9" xfId="0" applyFill="1" applyBorder="1" applyAlignment="1">
      <alignment horizontal="center"/>
    </xf>
    <xf numFmtId="0" fontId="0" fillId="10" borderId="12" xfId="0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10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10" borderId="1" xfId="0" applyFill="1" applyBorder="1"/>
    <xf numFmtId="2" fontId="0" fillId="4" borderId="1" xfId="0" applyNumberFormat="1" applyFill="1" applyBorder="1" applyAlignment="1">
      <alignment horizontal="center"/>
    </xf>
    <xf numFmtId="0" fontId="5" fillId="11" borderId="13" xfId="0" applyFont="1" applyFill="1" applyBorder="1"/>
    <xf numFmtId="0" fontId="5" fillId="11" borderId="14" xfId="0" applyFont="1" applyFill="1" applyBorder="1"/>
    <xf numFmtId="0" fontId="0" fillId="11" borderId="14" xfId="0" applyFill="1" applyBorder="1"/>
    <xf numFmtId="0" fontId="0" fillId="11" borderId="15" xfId="0" applyFill="1" applyBorder="1"/>
    <xf numFmtId="0" fontId="1" fillId="2" borderId="1" xfId="0" applyFont="1" applyFill="1" applyBorder="1"/>
    <xf numFmtId="0" fontId="1" fillId="2" borderId="1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6" fillId="9" borderId="9" xfId="0" applyFont="1" applyFill="1" applyBorder="1"/>
    <xf numFmtId="0" fontId="6" fillId="9" borderId="11" xfId="0" applyFont="1" applyFill="1" applyBorder="1"/>
    <xf numFmtId="0" fontId="7" fillId="0" borderId="0" xfId="0" applyFont="1"/>
    <xf numFmtId="0" fontId="5" fillId="0" borderId="0" xfId="0" applyFont="1" applyAlignment="1">
      <alignment horizontal="right" vertical="top"/>
    </xf>
    <xf numFmtId="43" fontId="1" fillId="0" borderId="1" xfId="1" applyFont="1" applyBorder="1"/>
    <xf numFmtId="0" fontId="8" fillId="5" borderId="0" xfId="0" applyFont="1" applyFill="1" applyAlignment="1">
      <alignment vertical="center" wrapText="1"/>
    </xf>
    <xf numFmtId="0" fontId="9" fillId="12" borderId="0" xfId="0" applyFont="1" applyFill="1"/>
    <xf numFmtId="0" fontId="1" fillId="0" borderId="0" xfId="0" applyFont="1"/>
    <xf numFmtId="0" fontId="1" fillId="5" borderId="0" xfId="0" applyFont="1" applyFill="1"/>
    <xf numFmtId="0" fontId="1" fillId="0" borderId="1" xfId="0" applyFont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right" vertical="top" wrapText="1"/>
    </xf>
    <xf numFmtId="0" fontId="1" fillId="5" borderId="1" xfId="0" applyFont="1" applyFill="1" applyBorder="1"/>
    <xf numFmtId="0" fontId="1" fillId="0" borderId="15" xfId="0" applyFont="1" applyBorder="1"/>
    <xf numFmtId="10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5" fillId="0" borderId="0" xfId="0" applyFont="1" applyAlignment="1">
      <alignment vertical="top"/>
    </xf>
    <xf numFmtId="0" fontId="11" fillId="0" borderId="0" xfId="0" applyFont="1"/>
    <xf numFmtId="0" fontId="12" fillId="0" borderId="1" xfId="0" applyFont="1" applyBorder="1"/>
    <xf numFmtId="166" fontId="0" fillId="0" borderId="1" xfId="0" applyNumberFormat="1" applyBorder="1"/>
    <xf numFmtId="166" fontId="1" fillId="13" borderId="1" xfId="1" applyNumberFormat="1" applyFont="1" applyFill="1" applyBorder="1"/>
    <xf numFmtId="168" fontId="0" fillId="0" borderId="1" xfId="0" applyNumberFormat="1" applyBorder="1"/>
    <xf numFmtId="168" fontId="1" fillId="13" borderId="1" xfId="1" applyNumberFormat="1" applyFont="1" applyFill="1" applyBorder="1"/>
    <xf numFmtId="0" fontId="13" fillId="0" borderId="0" xfId="0" applyFont="1"/>
    <xf numFmtId="0" fontId="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9" fillId="0" borderId="0" xfId="0" applyFont="1"/>
    <xf numFmtId="0" fontId="0" fillId="3" borderId="9" xfId="0" applyFill="1" applyBorder="1"/>
    <xf numFmtId="43" fontId="0" fillId="4" borderId="1" xfId="4" applyFont="1" applyFill="1" applyBorder="1" applyAlignment="1">
      <alignment horizontal="center"/>
    </xf>
    <xf numFmtId="2" fontId="0" fillId="0" borderId="0" xfId="0" applyNumberFormat="1"/>
    <xf numFmtId="0" fontId="0" fillId="3" borderId="10" xfId="0" applyFill="1" applyBorder="1"/>
    <xf numFmtId="0" fontId="0" fillId="3" borderId="11" xfId="0" applyFill="1" applyBorder="1"/>
    <xf numFmtId="0" fontId="15" fillId="5" borderId="1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2" fontId="17" fillId="5" borderId="1" xfId="0" applyNumberFormat="1" applyFont="1" applyFill="1" applyBorder="1" applyAlignment="1">
      <alignment horizontal="center"/>
    </xf>
    <xf numFmtId="43" fontId="0" fillId="0" borderId="1" xfId="4" applyFont="1" applyBorder="1"/>
    <xf numFmtId="10" fontId="0" fillId="0" borderId="1" xfId="0" applyNumberFormat="1" applyBorder="1"/>
    <xf numFmtId="43" fontId="1" fillId="0" borderId="1" xfId="4" applyFont="1" applyBorder="1"/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/>
    <xf numFmtId="0" fontId="5" fillId="15" borderId="1" xfId="0" applyFont="1" applyFill="1" applyBorder="1" applyAlignment="1">
      <alignment horizontal="center" vertical="top"/>
    </xf>
    <xf numFmtId="0" fontId="5" fillId="15" borderId="1" xfId="0" applyFont="1" applyFill="1" applyBorder="1" applyAlignment="1">
      <alignment horizontal="center" vertical="top" wrapText="1"/>
    </xf>
    <xf numFmtId="0" fontId="18" fillId="16" borderId="0" xfId="0" applyFont="1" applyFill="1" applyAlignment="1">
      <alignment vertical="center" wrapText="1"/>
    </xf>
    <xf numFmtId="0" fontId="19" fillId="0" borderId="0" xfId="0" applyFont="1"/>
    <xf numFmtId="0" fontId="20" fillId="17" borderId="1" xfId="0" applyFont="1" applyFill="1" applyBorder="1" applyAlignment="1">
      <alignment vertical="center" wrapText="1"/>
    </xf>
    <xf numFmtId="0" fontId="20" fillId="17" borderId="1" xfId="0" applyFont="1" applyFill="1" applyBorder="1" applyAlignment="1">
      <alignment horizontal="center" vertical="center" wrapText="1"/>
    </xf>
    <xf numFmtId="0" fontId="20" fillId="17" borderId="1" xfId="0" applyFont="1" applyFill="1" applyBorder="1" applyAlignment="1">
      <alignment horizontal="right" vertical="center" wrapText="1"/>
    </xf>
    <xf numFmtId="165" fontId="0" fillId="0" borderId="1" xfId="0" applyNumberFormat="1" applyBorder="1"/>
    <xf numFmtId="165" fontId="0" fillId="0" borderId="11" xfId="0" applyNumberFormat="1" applyBorder="1"/>
    <xf numFmtId="0" fontId="1" fillId="17" borderId="1" xfId="0" applyFont="1" applyFill="1" applyBorder="1"/>
    <xf numFmtId="0" fontId="1" fillId="0" borderId="1" xfId="0" applyFont="1" applyBorder="1" applyAlignment="1">
      <alignment horizontal="center"/>
    </xf>
    <xf numFmtId="165" fontId="0" fillId="18" borderId="1" xfId="0" applyNumberFormat="1" applyFill="1" applyBorder="1"/>
    <xf numFmtId="169" fontId="0" fillId="18" borderId="1" xfId="0" applyNumberFormat="1" applyFill="1" applyBorder="1"/>
    <xf numFmtId="0" fontId="0" fillId="0" borderId="0" xfId="0" applyAlignment="1">
      <alignment vertical="center" wrapText="1"/>
    </xf>
    <xf numFmtId="0" fontId="21" fillId="0" borderId="0" xfId="0" applyFont="1"/>
    <xf numFmtId="0" fontId="21" fillId="8" borderId="0" xfId="0" applyFont="1" applyFill="1"/>
    <xf numFmtId="168" fontId="1" fillId="17" borderId="1" xfId="0" applyNumberFormat="1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1" fillId="18" borderId="1" xfId="0" applyFont="1" applyFill="1" applyBorder="1" applyAlignment="1">
      <alignment vertical="center"/>
    </xf>
    <xf numFmtId="16" fontId="0" fillId="0" borderId="1" xfId="0" applyNumberFormat="1" applyBorder="1"/>
    <xf numFmtId="0" fontId="22" fillId="0" borderId="0" xfId="0" applyFont="1" applyAlignment="1">
      <alignment horizontal="left" vertical="center"/>
    </xf>
    <xf numFmtId="168" fontId="0" fillId="0" borderId="1" xfId="3" applyNumberFormat="1" applyFont="1" applyBorder="1"/>
    <xf numFmtId="0" fontId="24" fillId="13" borderId="1" xfId="0" applyFont="1" applyFill="1" applyBorder="1" applyAlignment="1">
      <alignment horizontal="center" vertical="top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5" fillId="0" borderId="1" xfId="0" applyFont="1" applyBorder="1" applyAlignment="1">
      <alignment vertical="top"/>
    </xf>
    <xf numFmtId="0" fontId="23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0" fontId="0" fillId="0" borderId="0" xfId="0" applyAlignment="1">
      <alignment horizontal="center" wrapText="1"/>
    </xf>
    <xf numFmtId="0" fontId="0" fillId="0" borderId="0" xfId="0"/>
    <xf numFmtId="0" fontId="1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wrapText="1"/>
    </xf>
    <xf numFmtId="165" fontId="1" fillId="11" borderId="1" xfId="0" applyNumberFormat="1" applyFont="1" applyFill="1" applyBorder="1"/>
    <xf numFmtId="0" fontId="1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 vertical="center" wrapText="1"/>
    </xf>
    <xf numFmtId="0" fontId="6" fillId="19" borderId="0" xfId="0" applyFont="1" applyFill="1" applyAlignment="1">
      <alignment horizontal="right" vertical="center" wrapText="1"/>
    </xf>
    <xf numFmtId="165" fontId="6" fillId="19" borderId="1" xfId="0" applyNumberFormat="1" applyFont="1" applyFill="1" applyBorder="1" applyAlignment="1">
      <alignment horizontal="right" vertical="center" wrapText="1"/>
    </xf>
    <xf numFmtId="165" fontId="1" fillId="19" borderId="1" xfId="0" applyNumberFormat="1" applyFont="1" applyFill="1" applyBorder="1" applyAlignment="1">
      <alignment wrapText="1"/>
    </xf>
    <xf numFmtId="0" fontId="3" fillId="6" borderId="13" xfId="0" applyFont="1" applyFill="1" applyBorder="1"/>
    <xf numFmtId="0" fontId="4" fillId="6" borderId="14" xfId="0" applyFont="1" applyFill="1" applyBorder="1"/>
    <xf numFmtId="0" fontId="4" fillId="6" borderId="15" xfId="0" applyFont="1" applyFill="1" applyBorder="1"/>
    <xf numFmtId="0" fontId="0" fillId="20" borderId="2" xfId="0" applyFill="1" applyBorder="1"/>
    <xf numFmtId="0" fontId="0" fillId="20" borderId="4" xfId="0" applyFill="1" applyBorder="1"/>
    <xf numFmtId="0" fontId="4" fillId="20" borderId="3" xfId="0" applyFont="1" applyFill="1" applyBorder="1"/>
    <xf numFmtId="0" fontId="4" fillId="20" borderId="4" xfId="0" applyFont="1" applyFill="1" applyBorder="1"/>
    <xf numFmtId="0" fontId="3" fillId="20" borderId="6" xfId="0" applyFont="1" applyFill="1" applyBorder="1"/>
    <xf numFmtId="0" fontId="4" fillId="20" borderId="8" xfId="0" applyFont="1" applyFill="1" applyBorder="1"/>
    <xf numFmtId="9" fontId="25" fillId="21" borderId="14" xfId="0" applyNumberFormat="1" applyFont="1" applyFill="1" applyBorder="1" applyAlignment="1">
      <alignment horizontal="center"/>
    </xf>
    <xf numFmtId="9" fontId="25" fillId="21" borderId="15" xfId="0" applyNumberFormat="1" applyFont="1" applyFill="1" applyBorder="1" applyAlignment="1">
      <alignment horizontal="center"/>
    </xf>
    <xf numFmtId="0" fontId="26" fillId="20" borderId="10" xfId="0" applyFont="1" applyFill="1" applyBorder="1"/>
    <xf numFmtId="178" fontId="25" fillId="21" borderId="10" xfId="0" applyNumberFormat="1" applyFont="1" applyFill="1" applyBorder="1"/>
    <xf numFmtId="165" fontId="0" fillId="0" borderId="1" xfId="0" applyNumberFormat="1" applyBorder="1" applyAlignment="1">
      <alignment horizontal="center"/>
    </xf>
    <xf numFmtId="0" fontId="26" fillId="20" borderId="11" xfId="0" applyFont="1" applyFill="1" applyBorder="1"/>
    <xf numFmtId="178" fontId="25" fillId="21" borderId="11" xfId="0" applyNumberFormat="1" applyFont="1" applyFill="1" applyBorder="1"/>
  </cellXfs>
  <cellStyles count="5">
    <cellStyle name="Moeda" xfId="2" builtinId="4"/>
    <cellStyle name="Normal" xfId="0" builtinId="0"/>
    <cellStyle name="Percentagem" xfId="3" builtinId="5"/>
    <cellStyle name="Vírgula" xfId="1" builtinId="3"/>
    <cellStyle name="Vírgula 2" xfId="4" xr:uid="{E7F080F2-B357-4DD8-8F5E-D089C2C253A7}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21"/>
  <sheetViews>
    <sheetView workbookViewId="0">
      <selection activeCell="K21" sqref="K21"/>
    </sheetView>
  </sheetViews>
  <sheetFormatPr defaultRowHeight="14.4" x14ac:dyDescent="0.3"/>
  <cols>
    <col min="1" max="1" width="5.109375" customWidth="1"/>
    <col min="2" max="2" width="3.44140625" customWidth="1"/>
    <col min="3" max="3" width="37.33203125" customWidth="1"/>
    <col min="4" max="5" width="11.44140625" customWidth="1"/>
    <col min="8" max="8" width="2.77734375" customWidth="1"/>
  </cols>
  <sheetData>
    <row r="4" spans="2:8" x14ac:dyDescent="0.3">
      <c r="B4" s="13"/>
      <c r="C4" s="14"/>
      <c r="D4" s="14"/>
      <c r="E4" s="14"/>
      <c r="F4" s="14"/>
      <c r="G4" s="14"/>
      <c r="H4" s="15"/>
    </row>
    <row r="5" spans="2:8" x14ac:dyDescent="0.3">
      <c r="B5" s="16"/>
      <c r="C5" s="17" t="s">
        <v>27</v>
      </c>
      <c r="D5" s="17"/>
      <c r="E5" s="17"/>
      <c r="F5" s="17"/>
      <c r="G5" s="17"/>
      <c r="H5" s="18"/>
    </row>
    <row r="6" spans="2:8" x14ac:dyDescent="0.3">
      <c r="B6" s="16"/>
      <c r="C6" s="19"/>
      <c r="D6" s="19"/>
      <c r="E6" s="19"/>
      <c r="F6" s="19"/>
      <c r="G6" s="19"/>
      <c r="H6" s="18"/>
    </row>
    <row r="7" spans="2:8" x14ac:dyDescent="0.3">
      <c r="B7" s="16"/>
      <c r="C7" s="20" t="s">
        <v>28</v>
      </c>
      <c r="D7" s="21" t="s">
        <v>29</v>
      </c>
      <c r="E7" s="22" t="s">
        <v>30</v>
      </c>
      <c r="F7" s="19"/>
      <c r="G7" s="23" t="s">
        <v>31</v>
      </c>
      <c r="H7" s="18"/>
    </row>
    <row r="8" spans="2:8" x14ac:dyDescent="0.3">
      <c r="B8" s="16"/>
      <c r="C8" s="24" t="s">
        <v>32</v>
      </c>
      <c r="D8" s="25">
        <v>4</v>
      </c>
      <c r="E8" s="36" cm="1">
        <f t="array" ref="E8:E18">Hours*Rate</f>
        <v>200</v>
      </c>
      <c r="F8" s="19"/>
      <c r="G8" s="27">
        <v>50</v>
      </c>
      <c r="H8" s="18"/>
    </row>
    <row r="9" spans="2:8" x14ac:dyDescent="0.3">
      <c r="B9" s="16"/>
      <c r="C9" s="24" t="s">
        <v>33</v>
      </c>
      <c r="D9" s="28">
        <v>0.5</v>
      </c>
      <c r="E9" s="37">
        <v>25</v>
      </c>
      <c r="F9" s="19"/>
      <c r="G9" s="19"/>
      <c r="H9" s="18"/>
    </row>
    <row r="10" spans="2:8" x14ac:dyDescent="0.3">
      <c r="B10" s="16"/>
      <c r="C10" s="24" t="s">
        <v>34</v>
      </c>
      <c r="D10" s="28">
        <v>3</v>
      </c>
      <c r="E10" s="37">
        <v>150</v>
      </c>
      <c r="F10" s="19"/>
      <c r="G10" s="19"/>
      <c r="H10" s="18"/>
    </row>
    <row r="11" spans="2:8" x14ac:dyDescent="0.3">
      <c r="B11" s="16"/>
      <c r="C11" s="24" t="s">
        <v>34</v>
      </c>
      <c r="D11" s="28">
        <v>1</v>
      </c>
      <c r="E11" s="37">
        <v>50</v>
      </c>
      <c r="F11" s="19"/>
      <c r="G11" s="19"/>
      <c r="H11" s="18"/>
    </row>
    <row r="12" spans="2:8" x14ac:dyDescent="0.3">
      <c r="B12" s="16"/>
      <c r="C12" s="24" t="s">
        <v>35</v>
      </c>
      <c r="D12" s="28">
        <v>7.5</v>
      </c>
      <c r="E12" s="37">
        <v>375</v>
      </c>
      <c r="F12" s="19"/>
      <c r="G12" s="19"/>
      <c r="H12" s="18"/>
    </row>
    <row r="13" spans="2:8" x14ac:dyDescent="0.3">
      <c r="B13" s="16"/>
      <c r="C13" s="24" t="s">
        <v>36</v>
      </c>
      <c r="D13" s="28">
        <v>0.5</v>
      </c>
      <c r="E13" s="37">
        <v>25</v>
      </c>
      <c r="F13" s="19"/>
      <c r="G13" s="19"/>
      <c r="H13" s="18"/>
    </row>
    <row r="14" spans="2:8" x14ac:dyDescent="0.3">
      <c r="B14" s="16"/>
      <c r="C14" s="24" t="s">
        <v>37</v>
      </c>
      <c r="D14" s="28">
        <v>2</v>
      </c>
      <c r="E14" s="37">
        <v>100</v>
      </c>
      <c r="F14" s="19"/>
      <c r="G14" s="19"/>
      <c r="H14" s="18"/>
    </row>
    <row r="15" spans="2:8" x14ac:dyDescent="0.3">
      <c r="B15" s="16"/>
      <c r="C15" s="24" t="s">
        <v>38</v>
      </c>
      <c r="D15" s="28">
        <v>3</v>
      </c>
      <c r="E15" s="37">
        <v>150</v>
      </c>
      <c r="F15" s="19"/>
      <c r="G15" s="19"/>
      <c r="H15" s="18"/>
    </row>
    <row r="16" spans="2:8" x14ac:dyDescent="0.3">
      <c r="B16" s="16"/>
      <c r="C16" s="24" t="s">
        <v>33</v>
      </c>
      <c r="D16" s="28">
        <v>0.5</v>
      </c>
      <c r="E16" s="37">
        <v>25</v>
      </c>
      <c r="F16" s="19"/>
      <c r="G16" s="19"/>
      <c r="H16" s="18"/>
    </row>
    <row r="17" spans="2:8" x14ac:dyDescent="0.3">
      <c r="B17" s="16"/>
      <c r="C17" s="24" t="s">
        <v>38</v>
      </c>
      <c r="D17" s="28">
        <v>3</v>
      </c>
      <c r="E17" s="37">
        <v>150</v>
      </c>
      <c r="F17" s="19"/>
      <c r="G17" s="19"/>
      <c r="H17" s="18"/>
    </row>
    <row r="18" spans="2:8" x14ac:dyDescent="0.3">
      <c r="B18" s="16"/>
      <c r="C18" s="29" t="s">
        <v>39</v>
      </c>
      <c r="D18" s="30">
        <v>2</v>
      </c>
      <c r="E18" s="37">
        <v>100</v>
      </c>
      <c r="F18" s="19"/>
      <c r="G18" s="19"/>
      <c r="H18" s="18"/>
    </row>
    <row r="19" spans="2:8" x14ac:dyDescent="0.3">
      <c r="B19" s="16"/>
      <c r="C19" s="19"/>
      <c r="D19" s="19"/>
      <c r="E19" s="19"/>
      <c r="F19" s="19"/>
      <c r="G19" s="19"/>
      <c r="H19" s="18"/>
    </row>
    <row r="20" spans="2:8" x14ac:dyDescent="0.3">
      <c r="B20" s="16"/>
      <c r="C20" s="19"/>
      <c r="D20" s="31" t="s">
        <v>40</v>
      </c>
      <c r="E20" s="32">
        <f>SUM(E8:E19)</f>
        <v>1350</v>
      </c>
      <c r="F20" s="19"/>
      <c r="G20" s="19"/>
      <c r="H20" s="18"/>
    </row>
    <row r="21" spans="2:8" x14ac:dyDescent="0.3">
      <c r="B21" s="33"/>
      <c r="C21" s="34"/>
      <c r="D21" s="34"/>
      <c r="E21" s="34"/>
      <c r="F21" s="34"/>
      <c r="G21" s="34"/>
      <c r="H2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workbookViewId="0">
      <selection activeCell="F25" sqref="F25"/>
    </sheetView>
  </sheetViews>
  <sheetFormatPr defaultRowHeight="14.4" x14ac:dyDescent="0.3"/>
  <cols>
    <col min="1" max="1" width="5.33203125" customWidth="1"/>
    <col min="2" max="2" width="38.88671875" bestFit="1" customWidth="1"/>
    <col min="3" max="3" width="15.44140625" customWidth="1"/>
    <col min="4" max="4" width="18" customWidth="1"/>
    <col min="5" max="5" width="17" customWidth="1"/>
    <col min="6" max="6" width="17.6640625" customWidth="1"/>
    <col min="7" max="7" width="4.5546875" customWidth="1"/>
    <col min="8" max="8" width="21.88671875" bestFit="1" customWidth="1"/>
  </cols>
  <sheetData>
    <row r="2" spans="2:8" x14ac:dyDescent="0.3">
      <c r="B2" s="6" t="s">
        <v>0</v>
      </c>
      <c r="C2" s="3" t="s">
        <v>20</v>
      </c>
      <c r="D2" s="1" t="s">
        <v>21</v>
      </c>
      <c r="E2" s="3" t="s">
        <v>42</v>
      </c>
      <c r="F2" s="2" t="s">
        <v>25</v>
      </c>
      <c r="H2" s="9" t="s">
        <v>26</v>
      </c>
    </row>
    <row r="3" spans="2:8" x14ac:dyDescent="0.3">
      <c r="B3" s="7" t="s">
        <v>1</v>
      </c>
      <c r="C3" s="38">
        <v>258000000</v>
      </c>
      <c r="D3" s="39">
        <v>887436184</v>
      </c>
      <c r="E3" s="40" cm="1">
        <f t="array" ref="E3:E22">World_Gross-Budget</f>
        <v>629436184</v>
      </c>
      <c r="F3" s="11" cm="1">
        <f t="array" ref="F3:F22">World_Gross/Average_ticket_price</f>
        <v>177487236.80000001</v>
      </c>
      <c r="H3" s="10">
        <v>5</v>
      </c>
    </row>
    <row r="4" spans="2:8" x14ac:dyDescent="0.3">
      <c r="B4" s="7" t="s">
        <v>2</v>
      </c>
      <c r="C4" s="38">
        <v>207000000</v>
      </c>
      <c r="D4" s="39">
        <v>553080025</v>
      </c>
      <c r="E4" s="40">
        <v>346080025</v>
      </c>
      <c r="F4" s="11">
        <v>110616005</v>
      </c>
    </row>
    <row r="5" spans="2:8" x14ac:dyDescent="0.3">
      <c r="B5" s="7" t="s">
        <v>3</v>
      </c>
      <c r="C5" s="38">
        <v>204000000</v>
      </c>
      <c r="D5" s="39">
        <v>391081192</v>
      </c>
      <c r="E5" s="40">
        <v>187081192</v>
      </c>
      <c r="F5" s="11">
        <v>78216238.400000006</v>
      </c>
    </row>
    <row r="6" spans="2:8" x14ac:dyDescent="0.3">
      <c r="B6" s="7" t="s">
        <v>4</v>
      </c>
      <c r="C6" s="38">
        <v>200000000</v>
      </c>
      <c r="D6" s="39">
        <v>784024485</v>
      </c>
      <c r="E6" s="40">
        <v>584024485</v>
      </c>
      <c r="F6" s="11">
        <v>156804897</v>
      </c>
    </row>
    <row r="7" spans="2:8" x14ac:dyDescent="0.3">
      <c r="B7" s="7" t="s">
        <v>5</v>
      </c>
      <c r="C7" s="38">
        <v>200000000</v>
      </c>
      <c r="D7" s="39">
        <v>1835400000</v>
      </c>
      <c r="E7" s="40">
        <v>1635400000</v>
      </c>
      <c r="F7" s="11">
        <v>367080000</v>
      </c>
    </row>
    <row r="8" spans="2:8" x14ac:dyDescent="0.3">
      <c r="B8" s="7" t="s">
        <v>22</v>
      </c>
      <c r="C8" s="38">
        <v>180000000</v>
      </c>
      <c r="D8" s="39">
        <v>748806957</v>
      </c>
      <c r="E8" s="40">
        <v>568806957</v>
      </c>
      <c r="F8" s="11">
        <v>149761391.40000001</v>
      </c>
    </row>
    <row r="9" spans="2:8" x14ac:dyDescent="0.3">
      <c r="B9" s="7" t="s">
        <v>6</v>
      </c>
      <c r="C9" s="38">
        <v>175000000</v>
      </c>
      <c r="D9" s="39">
        <v>217700000</v>
      </c>
      <c r="E9" s="40">
        <v>42700000</v>
      </c>
      <c r="F9" s="11">
        <v>43540000</v>
      </c>
    </row>
    <row r="10" spans="2:8" x14ac:dyDescent="0.3">
      <c r="B10" s="7" t="s">
        <v>7</v>
      </c>
      <c r="C10" s="38">
        <v>175000000</v>
      </c>
      <c r="D10" s="39">
        <v>120698890</v>
      </c>
      <c r="E10" s="40">
        <v>-54301110</v>
      </c>
      <c r="F10" s="11">
        <v>24139778</v>
      </c>
    </row>
    <row r="11" spans="2:8" x14ac:dyDescent="0.3">
      <c r="B11" s="7" t="s">
        <v>8</v>
      </c>
      <c r="C11" s="38">
        <v>175000000</v>
      </c>
      <c r="D11" s="39">
        <v>264246220</v>
      </c>
      <c r="E11" s="40">
        <v>89246220</v>
      </c>
      <c r="F11" s="11">
        <v>52849244</v>
      </c>
    </row>
    <row r="12" spans="2:8" x14ac:dyDescent="0.3">
      <c r="B12" s="7" t="s">
        <v>9</v>
      </c>
      <c r="C12" s="38">
        <v>170000000</v>
      </c>
      <c r="D12" s="39">
        <v>433058296</v>
      </c>
      <c r="E12" s="40">
        <v>263058296</v>
      </c>
      <c r="F12" s="11">
        <v>86611659.200000003</v>
      </c>
    </row>
    <row r="13" spans="2:8" x14ac:dyDescent="0.3">
      <c r="B13" s="7" t="s">
        <v>10</v>
      </c>
      <c r="C13" s="38">
        <v>170000000</v>
      </c>
      <c r="D13" s="39">
        <v>296596043</v>
      </c>
      <c r="E13" s="40">
        <v>126596043</v>
      </c>
      <c r="F13" s="11">
        <v>59319208.600000001</v>
      </c>
    </row>
    <row r="14" spans="2:8" x14ac:dyDescent="0.3">
      <c r="B14" s="7" t="s">
        <v>11</v>
      </c>
      <c r="C14" s="38">
        <v>170000000</v>
      </c>
      <c r="D14" s="39">
        <v>300150546</v>
      </c>
      <c r="E14" s="40">
        <v>130150546</v>
      </c>
      <c r="F14" s="11">
        <v>60030109.200000003</v>
      </c>
    </row>
    <row r="15" spans="2:8" x14ac:dyDescent="0.3">
      <c r="B15" s="7" t="s">
        <v>12</v>
      </c>
      <c r="C15" s="38">
        <v>160000000</v>
      </c>
      <c r="D15" s="39">
        <v>733012359</v>
      </c>
      <c r="E15" s="40">
        <v>573012359</v>
      </c>
      <c r="F15" s="11">
        <v>146602471.80000001</v>
      </c>
    </row>
    <row r="16" spans="2:8" x14ac:dyDescent="0.3">
      <c r="B16" s="7" t="s">
        <v>13</v>
      </c>
      <c r="C16" s="38">
        <v>160000000</v>
      </c>
      <c r="D16" s="39">
        <v>181674817</v>
      </c>
      <c r="E16" s="40">
        <v>21674817</v>
      </c>
      <c r="F16" s="11">
        <v>36334963.399999999</v>
      </c>
    </row>
    <row r="17" spans="2:6" x14ac:dyDescent="0.3">
      <c r="B17" s="7" t="s">
        <v>14</v>
      </c>
      <c r="C17" s="38">
        <v>155000000</v>
      </c>
      <c r="D17" s="39">
        <v>167297191</v>
      </c>
      <c r="E17" s="40">
        <v>12297191</v>
      </c>
      <c r="F17" s="11">
        <v>33459438.199999999</v>
      </c>
    </row>
    <row r="18" spans="2:6" x14ac:dyDescent="0.3">
      <c r="B18" s="7" t="s">
        <v>15</v>
      </c>
      <c r="C18" s="38">
        <v>151500000</v>
      </c>
      <c r="D18" s="39">
        <v>450500000</v>
      </c>
      <c r="E18" s="40">
        <v>299000000</v>
      </c>
      <c r="F18" s="11">
        <v>90100000</v>
      </c>
    </row>
    <row r="19" spans="2:6" x14ac:dyDescent="0.3">
      <c r="B19" s="7" t="s">
        <v>16</v>
      </c>
      <c r="C19" s="38">
        <v>150000000</v>
      </c>
      <c r="D19" s="39">
        <v>892213036</v>
      </c>
      <c r="E19" s="40">
        <v>742213036</v>
      </c>
      <c r="F19" s="11">
        <v>178442607.19999999</v>
      </c>
    </row>
    <row r="20" spans="2:6" x14ac:dyDescent="0.3">
      <c r="B20" s="7" t="s">
        <v>17</v>
      </c>
      <c r="C20" s="38">
        <v>150000000</v>
      </c>
      <c r="D20" s="39">
        <v>822828538</v>
      </c>
      <c r="E20" s="40">
        <v>672828538</v>
      </c>
      <c r="F20" s="11">
        <v>164565707.59999999</v>
      </c>
    </row>
    <row r="21" spans="2:6" x14ac:dyDescent="0.3">
      <c r="B21" s="7" t="s">
        <v>18</v>
      </c>
      <c r="C21" s="38">
        <v>150000000</v>
      </c>
      <c r="D21" s="39">
        <v>397501348</v>
      </c>
      <c r="E21" s="40">
        <v>247501348</v>
      </c>
      <c r="F21" s="11">
        <v>79500269.599999994</v>
      </c>
    </row>
    <row r="22" spans="2:6" x14ac:dyDescent="0.3">
      <c r="B22" s="8" t="s">
        <v>19</v>
      </c>
      <c r="C22" s="41">
        <v>150000000</v>
      </c>
      <c r="D22" s="42">
        <v>497298577</v>
      </c>
      <c r="E22" s="43">
        <v>347298577</v>
      </c>
      <c r="F22" s="12">
        <v>99459715.400000006</v>
      </c>
    </row>
    <row r="24" spans="2:6" x14ac:dyDescent="0.3">
      <c r="D24" s="4" t="s">
        <v>23</v>
      </c>
      <c r="E24" s="44">
        <f>MAX(Profit)</f>
        <v>1635400000</v>
      </c>
      <c r="F24" s="44">
        <f>MAX(Tickets_Sold)</f>
        <v>367080000</v>
      </c>
    </row>
    <row r="25" spans="2:6" x14ac:dyDescent="0.3">
      <c r="D25" s="5" t="s">
        <v>24</v>
      </c>
      <c r="E25" s="44">
        <f>MIN(Profit)</f>
        <v>-54301110</v>
      </c>
      <c r="F25" s="44">
        <f>MIN(Tickets_Sold)</f>
        <v>24139778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3"/>
  <sheetViews>
    <sheetView workbookViewId="0">
      <selection activeCell="F13" sqref="F13"/>
    </sheetView>
  </sheetViews>
  <sheetFormatPr defaultRowHeight="14.4" x14ac:dyDescent="0.3"/>
  <cols>
    <col min="2" max="2" width="16.21875" customWidth="1"/>
    <col min="3" max="3" width="11.5546875" customWidth="1"/>
    <col min="4" max="5" width="16.44140625" customWidth="1"/>
    <col min="6" max="7" width="16" customWidth="1"/>
    <col min="9" max="9" width="16.77734375" customWidth="1"/>
  </cols>
  <sheetData>
    <row r="2" spans="2:9" x14ac:dyDescent="0.3">
      <c r="B2" s="45" t="s">
        <v>43</v>
      </c>
      <c r="C2" s="46" t="s">
        <v>44</v>
      </c>
      <c r="D2" s="46" t="s">
        <v>45</v>
      </c>
      <c r="E2" s="46" t="s">
        <v>46</v>
      </c>
      <c r="F2" s="47" t="s">
        <v>47</v>
      </c>
      <c r="G2" s="48" t="s">
        <v>48</v>
      </c>
      <c r="I2" s="49" t="s">
        <v>49</v>
      </c>
    </row>
    <row r="3" spans="2:9" x14ac:dyDescent="0.3">
      <c r="B3" s="50" t="s">
        <v>50</v>
      </c>
      <c r="C3" t="s">
        <v>51</v>
      </c>
      <c r="D3" s="51">
        <v>14</v>
      </c>
      <c r="E3" s="51">
        <v>3</v>
      </c>
      <c r="F3" s="52" cm="1">
        <f t="array" ref="F3:F11">Poohsticks_score/Matches_Played</f>
        <v>4.666666666666667</v>
      </c>
      <c r="G3" s="53" cm="1">
        <f t="array" ref="G3:G11">Poohsticks_score*Donation_per_point</f>
        <v>70</v>
      </c>
      <c r="I3" s="26">
        <v>5</v>
      </c>
    </row>
    <row r="4" spans="2:9" x14ac:dyDescent="0.3">
      <c r="B4" s="50" t="s">
        <v>52</v>
      </c>
      <c r="C4" t="s">
        <v>53</v>
      </c>
      <c r="D4" s="51">
        <v>13</v>
      </c>
      <c r="E4" s="51">
        <v>3</v>
      </c>
      <c r="F4" s="52">
        <v>4.333333333333333</v>
      </c>
      <c r="G4" s="53">
        <v>65</v>
      </c>
    </row>
    <row r="5" spans="2:9" x14ac:dyDescent="0.3">
      <c r="B5" s="50" t="s">
        <v>54</v>
      </c>
      <c r="C5" t="s">
        <v>51</v>
      </c>
      <c r="D5" s="51">
        <v>16</v>
      </c>
      <c r="E5" s="51">
        <v>2</v>
      </c>
      <c r="F5" s="52">
        <v>8</v>
      </c>
      <c r="G5" s="53">
        <v>80</v>
      </c>
    </row>
    <row r="6" spans="2:9" x14ac:dyDescent="0.3">
      <c r="B6" s="50" t="s">
        <v>55</v>
      </c>
      <c r="C6" t="s">
        <v>56</v>
      </c>
      <c r="D6" s="51">
        <v>16</v>
      </c>
      <c r="E6" s="51">
        <v>3</v>
      </c>
      <c r="F6" s="52">
        <v>5.333333333333333</v>
      </c>
      <c r="G6" s="53">
        <v>80</v>
      </c>
    </row>
    <row r="7" spans="2:9" x14ac:dyDescent="0.3">
      <c r="B7" s="50" t="s">
        <v>57</v>
      </c>
      <c r="C7" t="s">
        <v>51</v>
      </c>
      <c r="D7" s="51">
        <v>17</v>
      </c>
      <c r="E7" s="51">
        <v>5</v>
      </c>
      <c r="F7" s="52">
        <v>3.4</v>
      </c>
      <c r="G7" s="53">
        <v>85</v>
      </c>
    </row>
    <row r="8" spans="2:9" x14ac:dyDescent="0.3">
      <c r="B8" s="50" t="s">
        <v>58</v>
      </c>
      <c r="C8" t="s">
        <v>53</v>
      </c>
      <c r="D8" s="51">
        <v>12</v>
      </c>
      <c r="E8" s="51">
        <v>2</v>
      </c>
      <c r="F8" s="52">
        <v>6</v>
      </c>
      <c r="G8" s="53">
        <v>60</v>
      </c>
    </row>
    <row r="9" spans="2:9" x14ac:dyDescent="0.3">
      <c r="B9" s="50" t="s">
        <v>59</v>
      </c>
      <c r="C9" t="s">
        <v>60</v>
      </c>
      <c r="D9" s="51">
        <v>13</v>
      </c>
      <c r="E9" s="51">
        <v>3</v>
      </c>
      <c r="F9" s="52">
        <v>4.333333333333333</v>
      </c>
      <c r="G9" s="53">
        <v>65</v>
      </c>
    </row>
    <row r="10" spans="2:9" x14ac:dyDescent="0.3">
      <c r="B10" s="50" t="s">
        <v>61</v>
      </c>
      <c r="C10" t="s">
        <v>51</v>
      </c>
      <c r="D10" s="51">
        <v>17</v>
      </c>
      <c r="E10" s="51">
        <v>5</v>
      </c>
      <c r="F10" s="52">
        <v>3.4</v>
      </c>
      <c r="G10" s="53">
        <v>85</v>
      </c>
    </row>
    <row r="11" spans="2:9" x14ac:dyDescent="0.3">
      <c r="B11" s="54" t="s">
        <v>62</v>
      </c>
      <c r="C11" s="55" t="s">
        <v>51</v>
      </c>
      <c r="D11" s="56">
        <v>18</v>
      </c>
      <c r="E11" s="56">
        <v>5</v>
      </c>
      <c r="F11" s="57">
        <v>3.6</v>
      </c>
      <c r="G11" s="58">
        <v>90</v>
      </c>
    </row>
    <row r="12" spans="2:9" x14ac:dyDescent="0.3">
      <c r="F12" s="51"/>
    </row>
    <row r="13" spans="2:9" x14ac:dyDescent="0.3">
      <c r="E13" s="59" t="s">
        <v>63</v>
      </c>
      <c r="F13" s="60">
        <f>AVERAGE(Average_Score)</f>
        <v>4.7851851851851848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BA59-1A5B-441A-A209-774F1F1D9D94}">
  <dimension ref="B2:F16"/>
  <sheetViews>
    <sheetView workbookViewId="0">
      <selection activeCell="F17" sqref="F17"/>
    </sheetView>
  </sheetViews>
  <sheetFormatPr defaultRowHeight="14.4" x14ac:dyDescent="0.3"/>
  <cols>
    <col min="2" max="2" width="10.5546875" customWidth="1"/>
    <col min="3" max="3" width="22" customWidth="1"/>
    <col min="4" max="4" width="14.44140625" customWidth="1"/>
    <col min="5" max="5" width="15.44140625" customWidth="1"/>
    <col min="6" max="6" width="15.6640625" customWidth="1"/>
  </cols>
  <sheetData>
    <row r="2" spans="2:6" x14ac:dyDescent="0.3">
      <c r="B2" s="61" t="s">
        <v>64</v>
      </c>
      <c r="C2" s="62"/>
      <c r="D2" s="63"/>
      <c r="E2" s="63"/>
      <c r="F2" s="64"/>
    </row>
    <row r="3" spans="2:6" x14ac:dyDescent="0.3">
      <c r="B3" s="65" t="s">
        <v>65</v>
      </c>
      <c r="C3" s="66" t="s">
        <v>43</v>
      </c>
      <c r="D3" s="67" t="s">
        <v>66</v>
      </c>
      <c r="E3" s="68" t="s">
        <v>67</v>
      </c>
      <c r="F3" s="67" t="s">
        <v>68</v>
      </c>
    </row>
    <row r="4" spans="2:6" x14ac:dyDescent="0.3">
      <c r="B4" s="69">
        <v>1</v>
      </c>
      <c r="C4" s="70" t="s">
        <v>69</v>
      </c>
      <c r="D4" s="71">
        <v>51</v>
      </c>
      <c r="E4" s="71">
        <v>56</v>
      </c>
      <c r="F4" s="72" cm="1">
        <f t="array" ref="F4:F13">Wealth___bil/Age</f>
        <v>1.0980392156862746</v>
      </c>
    </row>
    <row r="5" spans="2:6" x14ac:dyDescent="0.3">
      <c r="B5" s="69">
        <v>2</v>
      </c>
      <c r="C5" s="70" t="s">
        <v>70</v>
      </c>
      <c r="D5" s="71">
        <v>76</v>
      </c>
      <c r="E5" s="71">
        <v>52</v>
      </c>
      <c r="F5" s="72">
        <v>0.68421052631578949</v>
      </c>
    </row>
    <row r="6" spans="2:6" x14ac:dyDescent="0.3">
      <c r="B6" s="69">
        <v>3</v>
      </c>
      <c r="C6" s="70" t="s">
        <v>71</v>
      </c>
      <c r="D6" s="71">
        <v>67</v>
      </c>
      <c r="E6" s="71">
        <v>49</v>
      </c>
      <c r="F6" s="72">
        <v>0.73134328358208955</v>
      </c>
    </row>
    <row r="7" spans="2:6" x14ac:dyDescent="0.3">
      <c r="B7" s="69">
        <v>4</v>
      </c>
      <c r="C7" s="70" t="s">
        <v>72</v>
      </c>
      <c r="D7" s="71">
        <v>80</v>
      </c>
      <c r="E7" s="71">
        <v>33</v>
      </c>
      <c r="F7" s="72">
        <v>0.41249999999999998</v>
      </c>
    </row>
    <row r="8" spans="2:6" x14ac:dyDescent="0.3">
      <c r="B8" s="69">
        <v>5</v>
      </c>
      <c r="C8" s="70" t="s">
        <v>73</v>
      </c>
      <c r="D8" s="71">
        <v>56</v>
      </c>
      <c r="E8" s="71">
        <v>32</v>
      </c>
      <c r="F8" s="72">
        <v>0.5714285714285714</v>
      </c>
    </row>
    <row r="9" spans="2:6" x14ac:dyDescent="0.3">
      <c r="B9" s="69">
        <v>6</v>
      </c>
      <c r="C9" s="70" t="s">
        <v>74</v>
      </c>
      <c r="D9" s="71">
        <v>73</v>
      </c>
      <c r="E9" s="71">
        <v>26.5</v>
      </c>
      <c r="F9" s="72">
        <v>0.36301369863013699</v>
      </c>
    </row>
    <row r="10" spans="2:6" x14ac:dyDescent="0.3">
      <c r="B10" s="69">
        <v>7</v>
      </c>
      <c r="C10" s="70" t="s">
        <v>75</v>
      </c>
      <c r="D10" s="71">
        <v>58</v>
      </c>
      <c r="E10" s="71">
        <v>26</v>
      </c>
      <c r="F10" s="72">
        <v>0.44827586206896552</v>
      </c>
    </row>
    <row r="11" spans="2:6" x14ac:dyDescent="0.3">
      <c r="B11" s="69">
        <v>8</v>
      </c>
      <c r="C11" s="70" t="s">
        <v>76</v>
      </c>
      <c r="D11" s="71">
        <v>71</v>
      </c>
      <c r="E11" s="71">
        <v>24</v>
      </c>
      <c r="F11" s="72">
        <v>0.3380281690140845</v>
      </c>
    </row>
    <row r="12" spans="2:6" x14ac:dyDescent="0.3">
      <c r="B12" s="69">
        <v>9</v>
      </c>
      <c r="C12" s="70" t="s">
        <v>77</v>
      </c>
      <c r="D12" s="71">
        <v>78</v>
      </c>
      <c r="E12" s="71">
        <v>23</v>
      </c>
      <c r="F12" s="72">
        <v>0.29487179487179488</v>
      </c>
    </row>
    <row r="13" spans="2:6" x14ac:dyDescent="0.3">
      <c r="B13" s="69">
        <v>10</v>
      </c>
      <c r="C13" s="70" t="s">
        <v>78</v>
      </c>
      <c r="D13" s="71">
        <v>49</v>
      </c>
      <c r="E13" s="71">
        <v>22</v>
      </c>
      <c r="F13" s="72">
        <v>0.44897959183673469</v>
      </c>
    </row>
    <row r="14" spans="2:6" x14ac:dyDescent="0.3">
      <c r="F14" s="51"/>
    </row>
    <row r="15" spans="2:6" x14ac:dyDescent="0.3">
      <c r="E15" s="73" t="s">
        <v>30</v>
      </c>
      <c r="F15" s="60">
        <f>SUM(Wealth_per_year)</f>
        <v>5.3906907134344415</v>
      </c>
    </row>
    <row r="16" spans="2:6" x14ac:dyDescent="0.3">
      <c r="E16" s="74" t="s">
        <v>79</v>
      </c>
      <c r="F16" s="60">
        <f>AVERAGE(Wealth_per_year)</f>
        <v>0.53906907134344417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D323-95FB-4766-AFA3-28D540BC2875}">
  <dimension ref="A1:I26"/>
  <sheetViews>
    <sheetView workbookViewId="0">
      <selection activeCell="D10" sqref="D10"/>
    </sheetView>
  </sheetViews>
  <sheetFormatPr defaultRowHeight="14.4" x14ac:dyDescent="0.3"/>
  <cols>
    <col min="1" max="1" width="12.6640625" customWidth="1"/>
    <col min="2" max="2" width="20.44140625" customWidth="1"/>
    <col min="3" max="3" width="13.21875" customWidth="1"/>
    <col min="4" max="4" width="20.109375" customWidth="1"/>
    <col min="5" max="5" width="3.5546875" customWidth="1"/>
    <col min="6" max="6" width="12.6640625" customWidth="1"/>
    <col min="9" max="9" width="66" customWidth="1"/>
  </cols>
  <sheetData>
    <row r="1" spans="1:9" x14ac:dyDescent="0.3">
      <c r="A1" s="19"/>
      <c r="B1" s="19"/>
      <c r="C1" s="19"/>
      <c r="D1" s="19"/>
      <c r="E1" s="19"/>
      <c r="F1" s="19"/>
      <c r="G1" s="19"/>
      <c r="H1" s="19"/>
      <c r="I1" s="19"/>
    </row>
    <row r="2" spans="1:9" ht="7.8" customHeight="1" x14ac:dyDescent="0.3">
      <c r="A2" s="19"/>
      <c r="B2" s="19"/>
      <c r="C2" s="19"/>
      <c r="D2" s="19"/>
      <c r="E2" s="19"/>
      <c r="F2" s="19"/>
      <c r="G2" s="19"/>
      <c r="H2" s="19"/>
      <c r="I2" s="19"/>
    </row>
    <row r="3" spans="1:9" ht="35.4" customHeight="1" x14ac:dyDescent="0.3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35">
      <c r="A4" s="19"/>
      <c r="B4" s="75" t="s">
        <v>80</v>
      </c>
      <c r="C4" s="80"/>
      <c r="D4" s="80"/>
      <c r="E4" s="81"/>
      <c r="F4" s="81"/>
      <c r="G4" s="81"/>
      <c r="H4" s="19"/>
      <c r="I4" s="19"/>
    </row>
    <row r="5" spans="1:9" x14ac:dyDescent="0.3">
      <c r="A5" s="19"/>
      <c r="B5" s="81"/>
      <c r="C5" s="81"/>
      <c r="D5" s="81"/>
      <c r="E5" s="81"/>
      <c r="F5" s="81"/>
      <c r="G5" s="81"/>
      <c r="H5" s="19"/>
      <c r="I5" s="19"/>
    </row>
    <row r="6" spans="1:9" ht="24" customHeight="1" x14ac:dyDescent="0.3">
      <c r="A6" s="19"/>
      <c r="B6" s="88"/>
      <c r="C6" s="83" t="s">
        <v>81</v>
      </c>
      <c r="D6" s="84" t="s">
        <v>82</v>
      </c>
      <c r="E6" s="85"/>
      <c r="F6" s="81"/>
      <c r="G6" s="81"/>
      <c r="H6" s="19"/>
      <c r="I6" s="19"/>
    </row>
    <row r="7" spans="1:9" x14ac:dyDescent="0.3">
      <c r="A7" s="19"/>
      <c r="B7" s="82" t="s">
        <v>91</v>
      </c>
      <c r="C7" s="77">
        <v>781311</v>
      </c>
      <c r="D7" s="77">
        <f>Project_Sales*Growth</f>
        <v>48441.281999999999</v>
      </c>
      <c r="E7" s="85"/>
      <c r="F7" s="86" t="s">
        <v>84</v>
      </c>
      <c r="G7" s="87">
        <v>6.2E-2</v>
      </c>
      <c r="H7" s="19"/>
      <c r="I7" s="19"/>
    </row>
    <row r="8" spans="1:9" x14ac:dyDescent="0.3">
      <c r="A8" s="19"/>
      <c r="B8" s="82" t="s">
        <v>92</v>
      </c>
      <c r="C8" s="77">
        <v>236966</v>
      </c>
      <c r="D8" s="77">
        <f>Project_Direct_Costs*Wages_inc</f>
        <v>3080.558</v>
      </c>
      <c r="E8" s="85"/>
      <c r="F8" s="86" t="s">
        <v>85</v>
      </c>
      <c r="G8" s="87">
        <v>1.2999999999999999E-2</v>
      </c>
      <c r="H8" s="19"/>
      <c r="I8" s="19"/>
    </row>
    <row r="9" spans="1:9" x14ac:dyDescent="0.3">
      <c r="A9" s="19"/>
      <c r="B9" s="82" t="s">
        <v>93</v>
      </c>
      <c r="C9" s="77">
        <v>106392</v>
      </c>
      <c r="D9" s="77">
        <f>Project_Indirect_Costs*Utilities_inc</f>
        <v>3085.3679999999999</v>
      </c>
      <c r="E9" s="85"/>
      <c r="F9" s="86" t="s">
        <v>86</v>
      </c>
      <c r="G9" s="87">
        <v>2.9000000000000001E-2</v>
      </c>
      <c r="H9" s="19"/>
      <c r="I9" s="19"/>
    </row>
    <row r="10" spans="1:9" ht="15" x14ac:dyDescent="0.35">
      <c r="A10" s="19"/>
      <c r="B10" s="82" t="s">
        <v>94</v>
      </c>
      <c r="C10" s="77">
        <f>C7-C8-C9</f>
        <v>437953</v>
      </c>
      <c r="D10" s="85">
        <f>Project_Sales-Project_Direct_Costs-Project_Indirect_Costs</f>
        <v>437953</v>
      </c>
      <c r="E10" s="85"/>
      <c r="F10" s="81"/>
      <c r="G10" s="81"/>
      <c r="H10" s="19"/>
      <c r="I10" s="79" t="s">
        <v>87</v>
      </c>
    </row>
    <row r="11" spans="1:9" x14ac:dyDescent="0.3">
      <c r="A11" s="19"/>
      <c r="B11" s="19"/>
      <c r="C11" s="19"/>
      <c r="D11" s="19"/>
      <c r="E11" s="19"/>
      <c r="F11" s="19"/>
      <c r="G11" s="19"/>
      <c r="H11" s="19"/>
      <c r="I11" s="80"/>
    </row>
    <row r="12" spans="1:9" ht="15" x14ac:dyDescent="0.35">
      <c r="A12" s="19"/>
      <c r="B12" s="19"/>
      <c r="C12" s="19"/>
      <c r="D12" s="19"/>
      <c r="E12" s="19"/>
      <c r="F12" s="19"/>
      <c r="G12" s="19"/>
      <c r="H12" s="19"/>
      <c r="I12" s="79" t="s">
        <v>88</v>
      </c>
    </row>
    <row r="13" spans="1:9" ht="13.8" customHeight="1" x14ac:dyDescent="0.3">
      <c r="A13" s="19"/>
      <c r="B13" s="78"/>
      <c r="C13" s="19"/>
      <c r="D13" s="19"/>
      <c r="E13" s="19"/>
      <c r="F13" s="19"/>
      <c r="G13" s="19"/>
      <c r="H13" s="19"/>
      <c r="I13" s="81"/>
    </row>
    <row r="14" spans="1:9" ht="15" x14ac:dyDescent="0.35">
      <c r="A14" s="19"/>
      <c r="B14" s="19"/>
      <c r="C14" s="19"/>
      <c r="D14" s="19"/>
      <c r="E14" s="19"/>
      <c r="F14" s="19"/>
      <c r="G14" s="19"/>
      <c r="H14" s="19"/>
      <c r="I14" s="79" t="s">
        <v>89</v>
      </c>
    </row>
    <row r="15" spans="1:9" ht="15.6" x14ac:dyDescent="0.3">
      <c r="A15" s="19"/>
      <c r="B15" s="78"/>
      <c r="C15" s="19"/>
      <c r="D15" s="19"/>
      <c r="E15" s="19"/>
      <c r="F15" s="19"/>
      <c r="G15" s="19"/>
      <c r="H15" s="19"/>
      <c r="I15" s="81"/>
    </row>
    <row r="16" spans="1:9" ht="15" x14ac:dyDescent="0.35">
      <c r="A16" s="19"/>
      <c r="B16" s="19"/>
      <c r="C16" s="19"/>
      <c r="D16" s="19"/>
      <c r="E16" s="19"/>
      <c r="F16" s="19"/>
      <c r="G16" s="19"/>
      <c r="H16" s="19"/>
      <c r="I16" s="79" t="s">
        <v>90</v>
      </c>
    </row>
    <row r="17" spans="1:9" ht="15.6" x14ac:dyDescent="0.3">
      <c r="A17" s="19"/>
      <c r="B17" s="78"/>
      <c r="C17" s="19"/>
      <c r="D17" s="19"/>
      <c r="E17" s="19"/>
      <c r="F17" s="19"/>
      <c r="G17" s="19"/>
      <c r="H17" s="19"/>
      <c r="I17" s="19"/>
    </row>
    <row r="18" spans="1:9" x14ac:dyDescent="0.3">
      <c r="A18" s="19"/>
      <c r="B18" s="19"/>
      <c r="C18" s="19"/>
      <c r="D18" s="19"/>
      <c r="E18" s="19"/>
      <c r="F18" s="19"/>
      <c r="G18" s="19"/>
      <c r="H18" s="19"/>
      <c r="I18" s="19"/>
    </row>
    <row r="19" spans="1:9" ht="15.6" x14ac:dyDescent="0.3">
      <c r="A19" s="19"/>
      <c r="B19" s="78"/>
      <c r="C19" s="19"/>
      <c r="D19" s="19"/>
      <c r="E19" s="19"/>
      <c r="F19" s="19"/>
      <c r="G19" s="19"/>
      <c r="H19" s="19"/>
      <c r="I19" s="19"/>
    </row>
    <row r="20" spans="1:9" x14ac:dyDescent="0.3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3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3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3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3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3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">
      <c r="A26" s="19"/>
      <c r="B26" s="19"/>
      <c r="C26" s="19"/>
      <c r="D26" s="19"/>
      <c r="E26" s="19"/>
      <c r="F26" s="19"/>
      <c r="G26" s="19"/>
      <c r="H26" s="19"/>
      <c r="I2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EE6F-279E-4518-81AF-F2B6821BBA2E}">
  <dimension ref="B2:L105"/>
  <sheetViews>
    <sheetView topLeftCell="A54" workbookViewId="0">
      <selection activeCell="L106" sqref="L106"/>
    </sheetView>
  </sheetViews>
  <sheetFormatPr defaultRowHeight="14.4" x14ac:dyDescent="0.3"/>
  <cols>
    <col min="2" max="2" width="32.21875" bestFit="1" customWidth="1"/>
    <col min="3" max="3" width="12.5546875" bestFit="1" customWidth="1"/>
    <col min="4" max="4" width="14" bestFit="1" customWidth="1"/>
    <col min="5" max="5" width="5" bestFit="1" customWidth="1"/>
    <col min="6" max="6" width="7.44140625" bestFit="1" customWidth="1"/>
    <col min="7" max="7" width="12.44140625" bestFit="1" customWidth="1"/>
    <col min="8" max="8" width="7.77734375" bestFit="1" customWidth="1"/>
    <col min="9" max="9" width="6.88671875" bestFit="1" customWidth="1"/>
    <col min="10" max="10" width="8.33203125" bestFit="1" customWidth="1"/>
    <col min="11" max="11" width="15" bestFit="1" customWidth="1"/>
    <col min="12" max="12" width="14.109375" bestFit="1" customWidth="1"/>
  </cols>
  <sheetData>
    <row r="2" spans="2:12" x14ac:dyDescent="0.3">
      <c r="B2" s="106" t="s">
        <v>121</v>
      </c>
      <c r="C2" s="106" t="s">
        <v>122</v>
      </c>
      <c r="D2" s="106" t="s">
        <v>123</v>
      </c>
      <c r="E2" s="107" t="s">
        <v>124</v>
      </c>
      <c r="F2" s="107" t="s">
        <v>125</v>
      </c>
      <c r="G2" s="106" t="s">
        <v>126</v>
      </c>
      <c r="H2" s="106" t="s">
        <v>127</v>
      </c>
      <c r="I2" s="107" t="s">
        <v>128</v>
      </c>
      <c r="J2" s="108" t="s">
        <v>129</v>
      </c>
      <c r="K2" s="106" t="s">
        <v>130</v>
      </c>
      <c r="L2" s="106" t="s">
        <v>131</v>
      </c>
    </row>
    <row r="3" spans="2:12" x14ac:dyDescent="0.3">
      <c r="B3" s="109" t="s">
        <v>132</v>
      </c>
      <c r="C3" s="109" t="s">
        <v>133</v>
      </c>
      <c r="D3" s="109" t="s">
        <v>134</v>
      </c>
      <c r="E3" s="110">
        <v>1913</v>
      </c>
      <c r="F3" s="110" t="s">
        <v>135</v>
      </c>
      <c r="G3" s="111" t="s">
        <v>136</v>
      </c>
      <c r="H3" s="110">
        <v>57</v>
      </c>
      <c r="I3" s="110">
        <v>241</v>
      </c>
      <c r="J3" s="110">
        <v>14</v>
      </c>
      <c r="K3" s="112" cm="1">
        <f t="array" ref="K3:K100">Cost/Storeys</f>
        <v>0.24561403508771928</v>
      </c>
      <c r="L3" s="112" cm="1">
        <f t="array" ref="L3:L100">Cost/Metres</f>
        <v>5.8091286307053944E-2</v>
      </c>
    </row>
    <row r="4" spans="2:12" x14ac:dyDescent="0.3">
      <c r="B4" s="109" t="s">
        <v>137</v>
      </c>
      <c r="C4" s="109" t="s">
        <v>133</v>
      </c>
      <c r="D4" s="109" t="s">
        <v>134</v>
      </c>
      <c r="E4" s="110">
        <v>1933</v>
      </c>
      <c r="F4" s="110" t="s">
        <v>138</v>
      </c>
      <c r="G4" s="111" t="s">
        <v>136</v>
      </c>
      <c r="H4" s="110">
        <v>70</v>
      </c>
      <c r="I4" s="110">
        <v>259</v>
      </c>
      <c r="J4" s="110">
        <v>36</v>
      </c>
      <c r="K4" s="112">
        <v>0.51428571428571423</v>
      </c>
      <c r="L4" s="112">
        <v>0.138996138996139</v>
      </c>
    </row>
    <row r="5" spans="2:12" x14ac:dyDescent="0.3">
      <c r="B5" s="109" t="s">
        <v>139</v>
      </c>
      <c r="C5" s="109" t="s">
        <v>133</v>
      </c>
      <c r="D5" s="109" t="s">
        <v>134</v>
      </c>
      <c r="E5" s="110">
        <v>1930</v>
      </c>
      <c r="F5" s="110" t="s">
        <v>138</v>
      </c>
      <c r="G5" s="111" t="s">
        <v>136</v>
      </c>
      <c r="H5" s="110">
        <v>72</v>
      </c>
      <c r="I5" s="110">
        <v>283</v>
      </c>
      <c r="J5" s="110">
        <v>20</v>
      </c>
      <c r="K5" s="112">
        <v>0.27777777777777779</v>
      </c>
      <c r="L5" s="112">
        <v>7.0671378091872794E-2</v>
      </c>
    </row>
    <row r="6" spans="2:12" x14ac:dyDescent="0.3">
      <c r="B6" s="109" t="s">
        <v>140</v>
      </c>
      <c r="C6" s="109" t="s">
        <v>133</v>
      </c>
      <c r="D6" s="109" t="s">
        <v>134</v>
      </c>
      <c r="E6" s="110">
        <v>1932</v>
      </c>
      <c r="F6" s="110" t="s">
        <v>138</v>
      </c>
      <c r="G6" s="111" t="s">
        <v>136</v>
      </c>
      <c r="H6" s="110">
        <v>67</v>
      </c>
      <c r="I6" s="110">
        <v>290</v>
      </c>
      <c r="J6" s="110">
        <v>92</v>
      </c>
      <c r="K6" s="112">
        <v>1.3731343283582089</v>
      </c>
      <c r="L6" s="112">
        <v>0.31724137931034485</v>
      </c>
    </row>
    <row r="7" spans="2:12" x14ac:dyDescent="0.3">
      <c r="B7" s="109" t="s">
        <v>141</v>
      </c>
      <c r="C7" s="109" t="s">
        <v>133</v>
      </c>
      <c r="D7" s="109" t="s">
        <v>134</v>
      </c>
      <c r="E7" s="110">
        <v>1930</v>
      </c>
      <c r="F7" s="110" t="s">
        <v>138</v>
      </c>
      <c r="G7" s="111" t="s">
        <v>142</v>
      </c>
      <c r="H7" s="110">
        <v>77</v>
      </c>
      <c r="I7" s="110">
        <v>319</v>
      </c>
      <c r="J7" s="110">
        <v>96</v>
      </c>
      <c r="K7" s="112">
        <v>1.2467532467532467</v>
      </c>
      <c r="L7" s="112">
        <v>0.30094043887147337</v>
      </c>
    </row>
    <row r="8" spans="2:12" x14ac:dyDescent="0.3">
      <c r="B8" s="109" t="s">
        <v>143</v>
      </c>
      <c r="C8" s="109" t="s">
        <v>133</v>
      </c>
      <c r="D8" s="109" t="s">
        <v>134</v>
      </c>
      <c r="E8" s="110">
        <v>1931</v>
      </c>
      <c r="F8" s="110" t="s">
        <v>138</v>
      </c>
      <c r="G8" s="111" t="s">
        <v>142</v>
      </c>
      <c r="H8" s="110">
        <v>102</v>
      </c>
      <c r="I8" s="110">
        <v>381</v>
      </c>
      <c r="J8" s="110">
        <v>41</v>
      </c>
      <c r="K8" s="112">
        <v>0.40196078431372551</v>
      </c>
      <c r="L8" s="112">
        <v>0.10761154855643044</v>
      </c>
    </row>
    <row r="9" spans="2:12" x14ac:dyDescent="0.3">
      <c r="B9" s="109" t="s">
        <v>144</v>
      </c>
      <c r="C9" s="109" t="s">
        <v>145</v>
      </c>
      <c r="D9" s="109" t="s">
        <v>146</v>
      </c>
      <c r="E9" s="110">
        <v>1955</v>
      </c>
      <c r="F9" s="110" t="s">
        <v>147</v>
      </c>
      <c r="G9" s="111" t="s">
        <v>136</v>
      </c>
      <c r="H9" s="110">
        <v>42</v>
      </c>
      <c r="I9" s="110">
        <v>231</v>
      </c>
      <c r="J9" s="110">
        <v>34</v>
      </c>
      <c r="K9" s="112">
        <v>0.80952380952380953</v>
      </c>
      <c r="L9" s="112">
        <v>0.1471861471861472</v>
      </c>
    </row>
    <row r="10" spans="2:12" x14ac:dyDescent="0.3">
      <c r="B10" s="109" t="s">
        <v>148</v>
      </c>
      <c r="C10" s="109" t="s">
        <v>149</v>
      </c>
      <c r="D10" s="109" t="s">
        <v>150</v>
      </c>
      <c r="E10" s="110">
        <v>1953</v>
      </c>
      <c r="F10" s="110" t="s">
        <v>147</v>
      </c>
      <c r="G10" s="111" t="s">
        <v>136</v>
      </c>
      <c r="H10" s="110">
        <v>26</v>
      </c>
      <c r="I10" s="110">
        <v>239</v>
      </c>
      <c r="J10" s="110">
        <v>43</v>
      </c>
      <c r="K10" s="112">
        <v>1.6538461538461537</v>
      </c>
      <c r="L10" s="112">
        <v>0.1799163179916318</v>
      </c>
    </row>
    <row r="11" spans="2:12" x14ac:dyDescent="0.3">
      <c r="B11" s="109" t="s">
        <v>151</v>
      </c>
      <c r="C11" s="109" t="s">
        <v>152</v>
      </c>
      <c r="D11" s="109" t="s">
        <v>134</v>
      </c>
      <c r="E11" s="110">
        <v>1969</v>
      </c>
      <c r="F11" s="110" t="s">
        <v>153</v>
      </c>
      <c r="G11" s="111" t="s">
        <v>136</v>
      </c>
      <c r="H11" s="110">
        <v>52</v>
      </c>
      <c r="I11" s="110">
        <v>237</v>
      </c>
      <c r="J11" s="110">
        <v>69</v>
      </c>
      <c r="K11" s="112">
        <v>1.3269230769230769</v>
      </c>
      <c r="L11" s="112">
        <v>0.29113924050632911</v>
      </c>
    </row>
    <row r="12" spans="2:12" x14ac:dyDescent="0.3">
      <c r="B12" s="109" t="s">
        <v>154</v>
      </c>
      <c r="C12" s="109" t="s">
        <v>133</v>
      </c>
      <c r="D12" s="109" t="s">
        <v>134</v>
      </c>
      <c r="E12" s="110">
        <v>1963</v>
      </c>
      <c r="F12" s="110" t="s">
        <v>153</v>
      </c>
      <c r="G12" s="111" t="s">
        <v>136</v>
      </c>
      <c r="H12" s="110">
        <v>59</v>
      </c>
      <c r="I12" s="110">
        <v>246</v>
      </c>
      <c r="J12" s="110">
        <v>43</v>
      </c>
      <c r="K12" s="112">
        <v>0.72881355932203384</v>
      </c>
      <c r="L12" s="112">
        <v>0.17479674796747968</v>
      </c>
    </row>
    <row r="13" spans="2:12" x14ac:dyDescent="0.3">
      <c r="B13" s="109" t="s">
        <v>155</v>
      </c>
      <c r="C13" s="109" t="s">
        <v>133</v>
      </c>
      <c r="D13" s="109" t="s">
        <v>134</v>
      </c>
      <c r="E13" s="110">
        <v>1961</v>
      </c>
      <c r="F13" s="110" t="s">
        <v>153</v>
      </c>
      <c r="G13" s="111" t="s">
        <v>136</v>
      </c>
      <c r="H13" s="110">
        <v>60</v>
      </c>
      <c r="I13" s="110">
        <v>248</v>
      </c>
      <c r="J13" s="110">
        <v>12</v>
      </c>
      <c r="K13" s="112">
        <v>0.2</v>
      </c>
      <c r="L13" s="112">
        <v>4.8387096774193547E-2</v>
      </c>
    </row>
    <row r="14" spans="2:12" x14ac:dyDescent="0.3">
      <c r="B14" s="109" t="s">
        <v>156</v>
      </c>
      <c r="C14" s="109" t="s">
        <v>157</v>
      </c>
      <c r="D14" s="109" t="s">
        <v>134</v>
      </c>
      <c r="E14" s="110">
        <v>1969</v>
      </c>
      <c r="F14" s="110" t="s">
        <v>153</v>
      </c>
      <c r="G14" s="111" t="s">
        <v>136</v>
      </c>
      <c r="H14" s="110">
        <v>60</v>
      </c>
      <c r="I14" s="110">
        <v>259</v>
      </c>
      <c r="J14" s="110">
        <v>69</v>
      </c>
      <c r="K14" s="112">
        <v>1.1499999999999999</v>
      </c>
      <c r="L14" s="112">
        <v>0.26640926640926643</v>
      </c>
    </row>
    <row r="15" spans="2:12" x14ac:dyDescent="0.3">
      <c r="B15" s="109" t="s">
        <v>158</v>
      </c>
      <c r="C15" s="109" t="s">
        <v>157</v>
      </c>
      <c r="D15" s="109" t="s">
        <v>134</v>
      </c>
      <c r="E15" s="110">
        <v>1969</v>
      </c>
      <c r="F15" s="110" t="s">
        <v>153</v>
      </c>
      <c r="G15" s="111" t="s">
        <v>142</v>
      </c>
      <c r="H15" s="110">
        <v>100</v>
      </c>
      <c r="I15" s="110">
        <v>344</v>
      </c>
      <c r="J15" s="110">
        <v>60</v>
      </c>
      <c r="K15" s="112">
        <v>0.6</v>
      </c>
      <c r="L15" s="112">
        <v>0.1744186046511628</v>
      </c>
    </row>
    <row r="16" spans="2:12" x14ac:dyDescent="0.3">
      <c r="B16" s="109" t="s">
        <v>159</v>
      </c>
      <c r="C16" s="109" t="s">
        <v>160</v>
      </c>
      <c r="D16" s="109" t="s">
        <v>134</v>
      </c>
      <c r="E16" s="110">
        <v>1973</v>
      </c>
      <c r="F16" s="110" t="s">
        <v>161</v>
      </c>
      <c r="G16" s="111" t="s">
        <v>136</v>
      </c>
      <c r="H16" s="110">
        <v>57</v>
      </c>
      <c r="I16" s="110">
        <v>236</v>
      </c>
      <c r="J16" s="110">
        <v>56</v>
      </c>
      <c r="K16" s="112">
        <v>0.98245614035087714</v>
      </c>
      <c r="L16" s="112">
        <v>0.23728813559322035</v>
      </c>
    </row>
    <row r="17" spans="2:12" x14ac:dyDescent="0.3">
      <c r="B17" s="109" t="s">
        <v>162</v>
      </c>
      <c r="C17" s="109" t="s">
        <v>163</v>
      </c>
      <c r="D17" s="109" t="s">
        <v>164</v>
      </c>
      <c r="E17" s="110">
        <v>1973</v>
      </c>
      <c r="F17" s="110" t="s">
        <v>161</v>
      </c>
      <c r="G17" s="111" t="s">
        <v>136</v>
      </c>
      <c r="H17" s="110">
        <v>57</v>
      </c>
      <c r="I17" s="110">
        <v>239</v>
      </c>
      <c r="J17" s="110">
        <v>81</v>
      </c>
      <c r="K17" s="112">
        <v>1.4210526315789473</v>
      </c>
      <c r="L17" s="112">
        <v>0.33891213389121339</v>
      </c>
    </row>
    <row r="18" spans="2:12" x14ac:dyDescent="0.3">
      <c r="B18" s="109" t="s">
        <v>165</v>
      </c>
      <c r="C18" s="109" t="s">
        <v>166</v>
      </c>
      <c r="D18" s="109" t="s">
        <v>134</v>
      </c>
      <c r="E18" s="110">
        <v>1976</v>
      </c>
      <c r="F18" s="110" t="s">
        <v>161</v>
      </c>
      <c r="G18" s="111" t="s">
        <v>136</v>
      </c>
      <c r="H18" s="110">
        <v>60</v>
      </c>
      <c r="I18" s="110">
        <v>240</v>
      </c>
      <c r="J18" s="110">
        <v>85</v>
      </c>
      <c r="K18" s="112">
        <v>1.4166666666666667</v>
      </c>
      <c r="L18" s="112">
        <v>0.35416666666666669</v>
      </c>
    </row>
    <row r="19" spans="2:12" x14ac:dyDescent="0.3">
      <c r="B19" s="109" t="s">
        <v>167</v>
      </c>
      <c r="C19" s="109" t="s">
        <v>168</v>
      </c>
      <c r="D19" s="109" t="s">
        <v>134</v>
      </c>
      <c r="E19" s="110">
        <v>1970</v>
      </c>
      <c r="F19" s="110" t="s">
        <v>161</v>
      </c>
      <c r="G19" s="111" t="s">
        <v>136</v>
      </c>
      <c r="H19" s="110">
        <v>64</v>
      </c>
      <c r="I19" s="110">
        <v>256</v>
      </c>
      <c r="J19" s="110">
        <v>38</v>
      </c>
      <c r="K19" s="112">
        <v>0.59375</v>
      </c>
      <c r="L19" s="112">
        <v>0.1484375</v>
      </c>
    </row>
    <row r="20" spans="2:12" x14ac:dyDescent="0.3">
      <c r="B20" s="109" t="s">
        <v>169</v>
      </c>
      <c r="C20" s="109" t="s">
        <v>152</v>
      </c>
      <c r="D20" s="109" t="s">
        <v>134</v>
      </c>
      <c r="E20" s="110">
        <v>1972</v>
      </c>
      <c r="F20" s="110" t="s">
        <v>161</v>
      </c>
      <c r="G20" s="111" t="s">
        <v>136</v>
      </c>
      <c r="H20" s="110">
        <v>48</v>
      </c>
      <c r="I20" s="110">
        <v>260</v>
      </c>
      <c r="J20" s="110">
        <v>57</v>
      </c>
      <c r="K20" s="112">
        <v>1.1875</v>
      </c>
      <c r="L20" s="112">
        <v>0.21923076923076923</v>
      </c>
    </row>
    <row r="21" spans="2:12" x14ac:dyDescent="0.3">
      <c r="B21" s="109" t="s">
        <v>170</v>
      </c>
      <c r="C21" s="109" t="s">
        <v>157</v>
      </c>
      <c r="D21" s="109" t="s">
        <v>134</v>
      </c>
      <c r="E21" s="110">
        <v>1976</v>
      </c>
      <c r="F21" s="110" t="s">
        <v>161</v>
      </c>
      <c r="G21" s="111" t="s">
        <v>136</v>
      </c>
      <c r="H21" s="110">
        <v>74</v>
      </c>
      <c r="I21" s="110">
        <v>262</v>
      </c>
      <c r="J21" s="110">
        <v>44</v>
      </c>
      <c r="K21" s="112">
        <v>0.59459459459459463</v>
      </c>
      <c r="L21" s="112">
        <v>0.16793893129770993</v>
      </c>
    </row>
    <row r="22" spans="2:12" x14ac:dyDescent="0.3">
      <c r="B22" s="109" t="s">
        <v>171</v>
      </c>
      <c r="C22" s="109" t="s">
        <v>172</v>
      </c>
      <c r="D22" s="109" t="s">
        <v>134</v>
      </c>
      <c r="E22" s="110">
        <v>1974</v>
      </c>
      <c r="F22" s="110" t="s">
        <v>161</v>
      </c>
      <c r="G22" s="111" t="s">
        <v>136</v>
      </c>
      <c r="H22" s="110">
        <v>62</v>
      </c>
      <c r="I22" s="110">
        <v>262</v>
      </c>
      <c r="J22" s="110">
        <v>47</v>
      </c>
      <c r="K22" s="112">
        <v>0.75806451612903225</v>
      </c>
      <c r="L22" s="112">
        <v>0.17938931297709923</v>
      </c>
    </row>
    <row r="23" spans="2:12" x14ac:dyDescent="0.3">
      <c r="B23" s="109" t="s">
        <v>173</v>
      </c>
      <c r="C23" s="109" t="s">
        <v>174</v>
      </c>
      <c r="D23" s="109" t="s">
        <v>134</v>
      </c>
      <c r="E23" s="110">
        <v>1975</v>
      </c>
      <c r="F23" s="110" t="s">
        <v>161</v>
      </c>
      <c r="G23" s="111" t="s">
        <v>136</v>
      </c>
      <c r="H23" s="110">
        <v>56</v>
      </c>
      <c r="I23" s="110">
        <v>270</v>
      </c>
      <c r="J23" s="110">
        <v>14</v>
      </c>
      <c r="K23" s="112">
        <v>0.25</v>
      </c>
      <c r="L23" s="112">
        <v>5.185185185185185E-2</v>
      </c>
    </row>
    <row r="24" spans="2:12" x14ac:dyDescent="0.3">
      <c r="B24" s="109" t="s">
        <v>175</v>
      </c>
      <c r="C24" s="109" t="s">
        <v>133</v>
      </c>
      <c r="D24" s="109" t="s">
        <v>134</v>
      </c>
      <c r="E24" s="110">
        <v>1977</v>
      </c>
      <c r="F24" s="110" t="s">
        <v>161</v>
      </c>
      <c r="G24" s="111" t="s">
        <v>136</v>
      </c>
      <c r="H24" s="110">
        <v>59</v>
      </c>
      <c r="I24" s="110">
        <v>279</v>
      </c>
      <c r="J24" s="110">
        <v>29</v>
      </c>
      <c r="K24" s="112">
        <v>0.49152542372881358</v>
      </c>
      <c r="L24" s="112">
        <v>0.1039426523297491</v>
      </c>
    </row>
    <row r="25" spans="2:12" x14ac:dyDescent="0.3">
      <c r="B25" s="109" t="s">
        <v>176</v>
      </c>
      <c r="C25" s="109" t="s">
        <v>163</v>
      </c>
      <c r="D25" s="109" t="s">
        <v>164</v>
      </c>
      <c r="E25" s="110">
        <v>1975</v>
      </c>
      <c r="F25" s="110" t="s">
        <v>161</v>
      </c>
      <c r="G25" s="111" t="s">
        <v>136</v>
      </c>
      <c r="H25" s="110">
        <v>72</v>
      </c>
      <c r="I25" s="110">
        <v>290</v>
      </c>
      <c r="J25" s="110">
        <v>72</v>
      </c>
      <c r="K25" s="112">
        <v>1</v>
      </c>
      <c r="L25" s="112">
        <v>0.24827586206896551</v>
      </c>
    </row>
    <row r="26" spans="2:12" x14ac:dyDescent="0.3">
      <c r="B26" s="109" t="s">
        <v>177</v>
      </c>
      <c r="C26" s="109" t="s">
        <v>157</v>
      </c>
      <c r="D26" s="109" t="s">
        <v>134</v>
      </c>
      <c r="E26" s="110">
        <v>1973</v>
      </c>
      <c r="F26" s="110" t="s">
        <v>161</v>
      </c>
      <c r="G26" s="111" t="s">
        <v>142</v>
      </c>
      <c r="H26" s="110">
        <v>80</v>
      </c>
      <c r="I26" s="110">
        <v>346</v>
      </c>
      <c r="J26" s="110">
        <v>17</v>
      </c>
      <c r="K26" s="112">
        <v>0.21249999999999999</v>
      </c>
      <c r="L26" s="112">
        <v>4.9132947976878616E-2</v>
      </c>
    </row>
    <row r="27" spans="2:12" x14ac:dyDescent="0.3">
      <c r="B27" s="109" t="s">
        <v>178</v>
      </c>
      <c r="C27" s="109" t="s">
        <v>157</v>
      </c>
      <c r="D27" s="109" t="s">
        <v>134</v>
      </c>
      <c r="E27" s="110">
        <v>1974</v>
      </c>
      <c r="F27" s="110" t="s">
        <v>161</v>
      </c>
      <c r="G27" s="111" t="s">
        <v>179</v>
      </c>
      <c r="H27" s="110">
        <v>110</v>
      </c>
      <c r="I27" s="110">
        <v>442</v>
      </c>
      <c r="J27" s="110">
        <v>58</v>
      </c>
      <c r="K27" s="112">
        <v>0.52727272727272723</v>
      </c>
      <c r="L27" s="112">
        <v>0.13122171945701358</v>
      </c>
    </row>
    <row r="28" spans="2:12" x14ac:dyDescent="0.3">
      <c r="B28" s="109" t="s">
        <v>180</v>
      </c>
      <c r="C28" s="109" t="s">
        <v>133</v>
      </c>
      <c r="D28" s="109" t="s">
        <v>134</v>
      </c>
      <c r="E28" s="110">
        <v>1986</v>
      </c>
      <c r="F28" s="110" t="s">
        <v>181</v>
      </c>
      <c r="G28" s="111" t="s">
        <v>136</v>
      </c>
      <c r="H28" s="110">
        <v>51</v>
      </c>
      <c r="I28" s="110">
        <v>229</v>
      </c>
      <c r="J28" s="110">
        <v>62</v>
      </c>
      <c r="K28" s="112">
        <v>1.2156862745098038</v>
      </c>
      <c r="L28" s="112">
        <v>0.27074235807860264</v>
      </c>
    </row>
    <row r="29" spans="2:12" x14ac:dyDescent="0.3">
      <c r="B29" s="109" t="s">
        <v>182</v>
      </c>
      <c r="C29" s="109" t="s">
        <v>157</v>
      </c>
      <c r="D29" s="109" t="s">
        <v>134</v>
      </c>
      <c r="E29" s="110">
        <v>1981</v>
      </c>
      <c r="F29" s="110" t="s">
        <v>181</v>
      </c>
      <c r="G29" s="111" t="s">
        <v>136</v>
      </c>
      <c r="H29" s="110">
        <v>57</v>
      </c>
      <c r="I29" s="110">
        <v>230</v>
      </c>
      <c r="J29" s="110">
        <v>72</v>
      </c>
      <c r="K29" s="112">
        <v>1.263157894736842</v>
      </c>
      <c r="L29" s="112">
        <v>0.31304347826086959</v>
      </c>
    </row>
    <row r="30" spans="2:12" x14ac:dyDescent="0.3">
      <c r="B30" s="109" t="s">
        <v>183</v>
      </c>
      <c r="C30" s="109" t="s">
        <v>184</v>
      </c>
      <c r="D30" s="109" t="s">
        <v>185</v>
      </c>
      <c r="E30" s="110">
        <v>1985</v>
      </c>
      <c r="F30" s="110" t="s">
        <v>181</v>
      </c>
      <c r="G30" s="111" t="s">
        <v>136</v>
      </c>
      <c r="H30" s="110">
        <v>65</v>
      </c>
      <c r="I30" s="110">
        <v>232</v>
      </c>
      <c r="J30" s="110">
        <v>66</v>
      </c>
      <c r="K30" s="112">
        <v>1.0153846153846153</v>
      </c>
      <c r="L30" s="112">
        <v>0.28448275862068967</v>
      </c>
    </row>
    <row r="31" spans="2:12" x14ac:dyDescent="0.3">
      <c r="B31" s="109" t="s">
        <v>186</v>
      </c>
      <c r="C31" s="109" t="s">
        <v>187</v>
      </c>
      <c r="D31" s="109" t="s">
        <v>134</v>
      </c>
      <c r="E31" s="110">
        <v>1987</v>
      </c>
      <c r="F31" s="110" t="s">
        <v>181</v>
      </c>
      <c r="G31" s="111" t="s">
        <v>136</v>
      </c>
      <c r="H31" s="110">
        <v>52</v>
      </c>
      <c r="I31" s="110">
        <v>232</v>
      </c>
      <c r="J31" s="110">
        <v>83</v>
      </c>
      <c r="K31" s="112">
        <v>1.5961538461538463</v>
      </c>
      <c r="L31" s="112">
        <v>0.35775862068965519</v>
      </c>
    </row>
    <row r="32" spans="2:12" x14ac:dyDescent="0.3">
      <c r="B32" s="109" t="s">
        <v>188</v>
      </c>
      <c r="C32" s="109" t="s">
        <v>160</v>
      </c>
      <c r="D32" s="109" t="s">
        <v>134</v>
      </c>
      <c r="E32" s="110">
        <v>1988</v>
      </c>
      <c r="F32" s="110" t="s">
        <v>181</v>
      </c>
      <c r="G32" s="111" t="s">
        <v>136</v>
      </c>
      <c r="H32" s="110">
        <v>57</v>
      </c>
      <c r="I32" s="110">
        <v>235</v>
      </c>
      <c r="J32" s="110">
        <v>37</v>
      </c>
      <c r="K32" s="112">
        <v>0.64912280701754388</v>
      </c>
      <c r="L32" s="112">
        <v>0.1574468085106383</v>
      </c>
    </row>
    <row r="33" spans="2:12" x14ac:dyDescent="0.3">
      <c r="B33" s="109" t="s">
        <v>189</v>
      </c>
      <c r="C33" s="109" t="s">
        <v>190</v>
      </c>
      <c r="D33" s="109" t="s">
        <v>191</v>
      </c>
      <c r="E33" s="110">
        <v>1986</v>
      </c>
      <c r="F33" s="110" t="s">
        <v>181</v>
      </c>
      <c r="G33" s="111" t="s">
        <v>136</v>
      </c>
      <c r="H33" s="110">
        <v>52</v>
      </c>
      <c r="I33" s="110">
        <v>235</v>
      </c>
      <c r="J33" s="110">
        <v>93</v>
      </c>
      <c r="K33" s="112">
        <v>1.7884615384615385</v>
      </c>
      <c r="L33" s="112">
        <v>0.39574468085106385</v>
      </c>
    </row>
    <row r="34" spans="2:12" x14ac:dyDescent="0.3">
      <c r="B34" s="109" t="s">
        <v>192</v>
      </c>
      <c r="C34" s="109" t="s">
        <v>193</v>
      </c>
      <c r="D34" s="109" t="s">
        <v>194</v>
      </c>
      <c r="E34" s="110">
        <v>1985</v>
      </c>
      <c r="F34" s="110" t="s">
        <v>181</v>
      </c>
      <c r="G34" s="111" t="s">
        <v>136</v>
      </c>
      <c r="H34" s="110">
        <v>60</v>
      </c>
      <c r="I34" s="110">
        <v>237</v>
      </c>
      <c r="J34" s="110">
        <v>70</v>
      </c>
      <c r="K34" s="112">
        <v>1.1666666666666667</v>
      </c>
      <c r="L34" s="112">
        <v>0.29535864978902954</v>
      </c>
    </row>
    <row r="35" spans="2:12" x14ac:dyDescent="0.3">
      <c r="B35" s="109" t="s">
        <v>195</v>
      </c>
      <c r="C35" s="109" t="s">
        <v>133</v>
      </c>
      <c r="D35" s="109" t="s">
        <v>134</v>
      </c>
      <c r="E35" s="110">
        <v>1989</v>
      </c>
      <c r="F35" s="110" t="s">
        <v>181</v>
      </c>
      <c r="G35" s="111" t="s">
        <v>136</v>
      </c>
      <c r="H35" s="110">
        <v>47</v>
      </c>
      <c r="I35" s="110">
        <v>237</v>
      </c>
      <c r="J35" s="110">
        <v>93</v>
      </c>
      <c r="K35" s="112">
        <v>1.9787234042553192</v>
      </c>
      <c r="L35" s="112">
        <v>0.39240506329113922</v>
      </c>
    </row>
    <row r="36" spans="2:12" x14ac:dyDescent="0.3">
      <c r="B36" s="109" t="s">
        <v>196</v>
      </c>
      <c r="C36" s="109" t="s">
        <v>187</v>
      </c>
      <c r="D36" s="109" t="s">
        <v>134</v>
      </c>
      <c r="E36" s="110">
        <v>1984</v>
      </c>
      <c r="F36" s="110" t="s">
        <v>181</v>
      </c>
      <c r="G36" s="111" t="s">
        <v>136</v>
      </c>
      <c r="H36" s="110">
        <v>56</v>
      </c>
      <c r="I36" s="110">
        <v>238</v>
      </c>
      <c r="J36" s="110">
        <v>90</v>
      </c>
      <c r="K36" s="112">
        <v>1.6071428571428572</v>
      </c>
      <c r="L36" s="112">
        <v>0.37815126050420167</v>
      </c>
    </row>
    <row r="37" spans="2:12" x14ac:dyDescent="0.3">
      <c r="B37" s="109" t="s">
        <v>197</v>
      </c>
      <c r="C37" s="109" t="s">
        <v>174</v>
      </c>
      <c r="D37" s="109" t="s">
        <v>134</v>
      </c>
      <c r="E37" s="110">
        <v>1987</v>
      </c>
      <c r="F37" s="110" t="s">
        <v>181</v>
      </c>
      <c r="G37" s="111" t="s">
        <v>136</v>
      </c>
      <c r="H37" s="110">
        <v>60</v>
      </c>
      <c r="I37" s="110">
        <v>240</v>
      </c>
      <c r="J37" s="110">
        <v>17</v>
      </c>
      <c r="K37" s="112">
        <v>0.28333333333333333</v>
      </c>
      <c r="L37" s="112">
        <v>7.0833333333333331E-2</v>
      </c>
    </row>
    <row r="38" spans="2:12" x14ac:dyDescent="0.3">
      <c r="B38" s="109" t="s">
        <v>198</v>
      </c>
      <c r="C38" s="109" t="s">
        <v>199</v>
      </c>
      <c r="D38" s="109" t="s">
        <v>185</v>
      </c>
      <c r="E38" s="110">
        <v>1988</v>
      </c>
      <c r="F38" s="110" t="s">
        <v>181</v>
      </c>
      <c r="G38" s="111" t="s">
        <v>136</v>
      </c>
      <c r="H38" s="110">
        <v>50</v>
      </c>
      <c r="I38" s="110">
        <v>244</v>
      </c>
      <c r="J38" s="110">
        <v>58</v>
      </c>
      <c r="K38" s="112">
        <v>1.1599999999999999</v>
      </c>
      <c r="L38" s="112">
        <v>0.23770491803278687</v>
      </c>
    </row>
    <row r="39" spans="2:12" x14ac:dyDescent="0.3">
      <c r="B39" s="109" t="s">
        <v>200</v>
      </c>
      <c r="C39" s="109" t="s">
        <v>133</v>
      </c>
      <c r="D39" s="109" t="s">
        <v>134</v>
      </c>
      <c r="E39" s="110">
        <v>1989</v>
      </c>
      <c r="F39" s="110" t="s">
        <v>181</v>
      </c>
      <c r="G39" s="111" t="s">
        <v>136</v>
      </c>
      <c r="H39" s="110">
        <v>75</v>
      </c>
      <c r="I39" s="110">
        <v>248</v>
      </c>
      <c r="J39" s="110">
        <v>39</v>
      </c>
      <c r="K39" s="112">
        <v>0.52</v>
      </c>
      <c r="L39" s="112">
        <v>0.15725806451612903</v>
      </c>
    </row>
    <row r="40" spans="2:12" x14ac:dyDescent="0.3">
      <c r="B40" s="109" t="s">
        <v>201</v>
      </c>
      <c r="C40" s="109" t="s">
        <v>202</v>
      </c>
      <c r="D40" s="109" t="s">
        <v>203</v>
      </c>
      <c r="E40" s="110">
        <v>1985</v>
      </c>
      <c r="F40" s="110" t="s">
        <v>181</v>
      </c>
      <c r="G40" s="111" t="s">
        <v>136</v>
      </c>
      <c r="H40" s="110">
        <v>63</v>
      </c>
      <c r="I40" s="110">
        <v>248</v>
      </c>
      <c r="J40" s="110">
        <v>88</v>
      </c>
      <c r="K40" s="112">
        <v>1.3968253968253967</v>
      </c>
      <c r="L40" s="112">
        <v>0.35483870967741937</v>
      </c>
    </row>
    <row r="41" spans="2:12" x14ac:dyDescent="0.3">
      <c r="B41" s="109" t="s">
        <v>204</v>
      </c>
      <c r="C41" s="109" t="s">
        <v>205</v>
      </c>
      <c r="D41" s="109" t="s">
        <v>206</v>
      </c>
      <c r="E41" s="110">
        <v>1985</v>
      </c>
      <c r="F41" s="110" t="s">
        <v>181</v>
      </c>
      <c r="G41" s="111" t="s">
        <v>136</v>
      </c>
      <c r="H41" s="110">
        <v>60</v>
      </c>
      <c r="I41" s="110">
        <v>249</v>
      </c>
      <c r="J41" s="110">
        <v>75</v>
      </c>
      <c r="K41" s="112">
        <v>1.25</v>
      </c>
      <c r="L41" s="112">
        <v>0.30120481927710846</v>
      </c>
    </row>
    <row r="42" spans="2:12" x14ac:dyDescent="0.3">
      <c r="B42" s="109" t="s">
        <v>207</v>
      </c>
      <c r="C42" s="109" t="s">
        <v>208</v>
      </c>
      <c r="D42" s="109" t="s">
        <v>134</v>
      </c>
      <c r="E42" s="110">
        <v>1987</v>
      </c>
      <c r="F42" s="110" t="s">
        <v>181</v>
      </c>
      <c r="G42" s="111" t="s">
        <v>136</v>
      </c>
      <c r="H42" s="110">
        <v>50</v>
      </c>
      <c r="I42" s="110">
        <v>250</v>
      </c>
      <c r="J42" s="110">
        <v>39</v>
      </c>
      <c r="K42" s="112">
        <v>0.78</v>
      </c>
      <c r="L42" s="112">
        <v>0.156</v>
      </c>
    </row>
    <row r="43" spans="2:12" x14ac:dyDescent="0.3">
      <c r="B43" s="109" t="s">
        <v>209</v>
      </c>
      <c r="C43" s="109" t="s">
        <v>157</v>
      </c>
      <c r="D43" s="109" t="s">
        <v>134</v>
      </c>
      <c r="E43" s="110">
        <v>1989</v>
      </c>
      <c r="F43" s="110" t="s">
        <v>181</v>
      </c>
      <c r="G43" s="111" t="s">
        <v>136</v>
      </c>
      <c r="H43" s="110">
        <v>66</v>
      </c>
      <c r="I43" s="110">
        <v>265</v>
      </c>
      <c r="J43" s="110">
        <v>40</v>
      </c>
      <c r="K43" s="112">
        <v>0.60606060606060608</v>
      </c>
      <c r="L43" s="112">
        <v>0.15094339622641509</v>
      </c>
    </row>
    <row r="44" spans="2:12" x14ac:dyDescent="0.3">
      <c r="B44" s="109" t="s">
        <v>210</v>
      </c>
      <c r="C44" s="109" t="s">
        <v>163</v>
      </c>
      <c r="D44" s="109" t="s">
        <v>164</v>
      </c>
      <c r="E44" s="110">
        <v>1989</v>
      </c>
      <c r="F44" s="110" t="s">
        <v>181</v>
      </c>
      <c r="G44" s="111" t="s">
        <v>136</v>
      </c>
      <c r="H44" s="110">
        <v>68</v>
      </c>
      <c r="I44" s="110">
        <v>275</v>
      </c>
      <c r="J44" s="110">
        <v>19</v>
      </c>
      <c r="K44" s="112">
        <v>0.27941176470588236</v>
      </c>
      <c r="L44" s="112">
        <v>6.9090909090909092E-2</v>
      </c>
    </row>
    <row r="45" spans="2:12" x14ac:dyDescent="0.3">
      <c r="B45" s="109" t="s">
        <v>211</v>
      </c>
      <c r="C45" s="109" t="s">
        <v>187</v>
      </c>
      <c r="D45" s="109" t="s">
        <v>134</v>
      </c>
      <c r="E45" s="110">
        <v>1983</v>
      </c>
      <c r="F45" s="110" t="s">
        <v>181</v>
      </c>
      <c r="G45" s="111" t="s">
        <v>136</v>
      </c>
      <c r="H45" s="110">
        <v>64</v>
      </c>
      <c r="I45" s="110">
        <v>275</v>
      </c>
      <c r="J45" s="110">
        <v>97</v>
      </c>
      <c r="K45" s="112">
        <v>1.515625</v>
      </c>
      <c r="L45" s="112">
        <v>0.35272727272727272</v>
      </c>
    </row>
    <row r="46" spans="2:12" x14ac:dyDescent="0.3">
      <c r="B46" s="109" t="s">
        <v>212</v>
      </c>
      <c r="C46" s="109" t="s">
        <v>190</v>
      </c>
      <c r="D46" s="109" t="s">
        <v>191</v>
      </c>
      <c r="E46" s="110">
        <v>1986</v>
      </c>
      <c r="F46" s="110" t="s">
        <v>181</v>
      </c>
      <c r="G46" s="111" t="s">
        <v>136</v>
      </c>
      <c r="H46" s="110">
        <v>66</v>
      </c>
      <c r="I46" s="110">
        <v>280</v>
      </c>
      <c r="J46" s="110">
        <v>57</v>
      </c>
      <c r="K46" s="112">
        <v>0.86363636363636365</v>
      </c>
      <c r="L46" s="112">
        <v>0.20357142857142857</v>
      </c>
    </row>
    <row r="47" spans="2:12" x14ac:dyDescent="0.3">
      <c r="B47" s="109" t="s">
        <v>213</v>
      </c>
      <c r="C47" s="109" t="s">
        <v>174</v>
      </c>
      <c r="D47" s="109" t="s">
        <v>134</v>
      </c>
      <c r="E47" s="110">
        <v>1985</v>
      </c>
      <c r="F47" s="110" t="s">
        <v>181</v>
      </c>
      <c r="G47" s="111" t="s">
        <v>136</v>
      </c>
      <c r="H47" s="110">
        <v>72</v>
      </c>
      <c r="I47" s="110">
        <v>281</v>
      </c>
      <c r="J47" s="110">
        <v>75</v>
      </c>
      <c r="K47" s="112">
        <v>1.0416666666666667</v>
      </c>
      <c r="L47" s="112">
        <v>0.2669039145907473</v>
      </c>
    </row>
    <row r="48" spans="2:12" x14ac:dyDescent="0.3">
      <c r="B48" s="109" t="s">
        <v>214</v>
      </c>
      <c r="C48" s="109" t="s">
        <v>215</v>
      </c>
      <c r="D48" s="109" t="s">
        <v>134</v>
      </c>
      <c r="E48" s="110">
        <v>1984</v>
      </c>
      <c r="F48" s="110" t="s">
        <v>181</v>
      </c>
      <c r="G48" s="111" t="s">
        <v>136</v>
      </c>
      <c r="H48" s="110">
        <v>76</v>
      </c>
      <c r="I48" s="110">
        <v>287</v>
      </c>
      <c r="J48" s="110">
        <v>98</v>
      </c>
      <c r="K48" s="112">
        <v>1.2894736842105263</v>
      </c>
      <c r="L48" s="112">
        <v>0.34146341463414637</v>
      </c>
    </row>
    <row r="49" spans="2:12" x14ac:dyDescent="0.3">
      <c r="B49" s="109" t="s">
        <v>216</v>
      </c>
      <c r="C49" s="109" t="s">
        <v>217</v>
      </c>
      <c r="D49" s="109" t="s">
        <v>134</v>
      </c>
      <c r="E49" s="110">
        <v>1987</v>
      </c>
      <c r="F49" s="110" t="s">
        <v>181</v>
      </c>
      <c r="G49" s="111" t="s">
        <v>136</v>
      </c>
      <c r="H49" s="110">
        <v>61</v>
      </c>
      <c r="I49" s="110">
        <v>288</v>
      </c>
      <c r="J49" s="110">
        <v>91</v>
      </c>
      <c r="K49" s="112">
        <v>1.4918032786885247</v>
      </c>
      <c r="L49" s="112">
        <v>0.31597222222222221</v>
      </c>
    </row>
    <row r="50" spans="2:12" x14ac:dyDescent="0.3">
      <c r="B50" s="109" t="s">
        <v>218</v>
      </c>
      <c r="C50" s="109" t="s">
        <v>187</v>
      </c>
      <c r="D50" s="109" t="s">
        <v>134</v>
      </c>
      <c r="E50" s="110">
        <v>1983</v>
      </c>
      <c r="F50" s="110" t="s">
        <v>181</v>
      </c>
      <c r="G50" s="111" t="s">
        <v>136</v>
      </c>
      <c r="H50" s="110">
        <v>71</v>
      </c>
      <c r="I50" s="110">
        <v>296</v>
      </c>
      <c r="J50" s="110">
        <v>65</v>
      </c>
      <c r="K50" s="112">
        <v>0.91549295774647887</v>
      </c>
      <c r="L50" s="112">
        <v>0.2195945945945946</v>
      </c>
    </row>
    <row r="51" spans="2:12" x14ac:dyDescent="0.3">
      <c r="B51" s="109" t="s">
        <v>219</v>
      </c>
      <c r="C51" s="109" t="s">
        <v>187</v>
      </c>
      <c r="D51" s="109" t="s">
        <v>134</v>
      </c>
      <c r="E51" s="110">
        <v>1982</v>
      </c>
      <c r="F51" s="110" t="s">
        <v>181</v>
      </c>
      <c r="G51" s="111" t="s">
        <v>142</v>
      </c>
      <c r="H51" s="110">
        <v>75</v>
      </c>
      <c r="I51" s="110">
        <v>305</v>
      </c>
      <c r="J51" s="110">
        <v>25</v>
      </c>
      <c r="K51" s="112">
        <v>0.33333333333333331</v>
      </c>
      <c r="L51" s="112">
        <v>8.1967213114754092E-2</v>
      </c>
    </row>
    <row r="52" spans="2:12" x14ac:dyDescent="0.3">
      <c r="B52" s="109" t="s">
        <v>220</v>
      </c>
      <c r="C52" s="109" t="s">
        <v>157</v>
      </c>
      <c r="D52" s="109" t="s">
        <v>134</v>
      </c>
      <c r="E52" s="110">
        <v>1989</v>
      </c>
      <c r="F52" s="110" t="s">
        <v>181</v>
      </c>
      <c r="G52" s="111" t="s">
        <v>142</v>
      </c>
      <c r="H52" s="110">
        <v>60</v>
      </c>
      <c r="I52" s="110">
        <v>307</v>
      </c>
      <c r="J52" s="110">
        <v>44</v>
      </c>
      <c r="K52" s="112">
        <v>0.73333333333333328</v>
      </c>
      <c r="L52" s="112">
        <v>0.14332247557003258</v>
      </c>
    </row>
    <row r="53" spans="2:12" x14ac:dyDescent="0.3">
      <c r="B53" s="109" t="s">
        <v>221</v>
      </c>
      <c r="C53" s="109" t="s">
        <v>222</v>
      </c>
      <c r="D53" s="109" t="s">
        <v>223</v>
      </c>
      <c r="E53" s="110">
        <v>1989</v>
      </c>
      <c r="F53" s="110" t="s">
        <v>181</v>
      </c>
      <c r="G53" s="111" t="s">
        <v>142</v>
      </c>
      <c r="H53" s="110">
        <v>70</v>
      </c>
      <c r="I53" s="110">
        <v>369</v>
      </c>
      <c r="J53" s="110">
        <v>42</v>
      </c>
      <c r="K53" s="112">
        <v>0.6</v>
      </c>
      <c r="L53" s="112">
        <v>0.11382113821138211</v>
      </c>
    </row>
    <row r="54" spans="2:12" x14ac:dyDescent="0.3">
      <c r="B54" s="109" t="s">
        <v>224</v>
      </c>
      <c r="C54" s="109" t="s">
        <v>133</v>
      </c>
      <c r="D54" s="109" t="s">
        <v>134</v>
      </c>
      <c r="E54" s="110">
        <v>1991</v>
      </c>
      <c r="F54" s="110" t="s">
        <v>225</v>
      </c>
      <c r="G54" s="111" t="s">
        <v>136</v>
      </c>
      <c r="H54" s="110">
        <v>60</v>
      </c>
      <c r="I54" s="110">
        <v>231</v>
      </c>
      <c r="J54" s="110">
        <v>20</v>
      </c>
      <c r="K54" s="112">
        <v>0.33333333333333331</v>
      </c>
      <c r="L54" s="112">
        <v>8.6580086580086577E-2</v>
      </c>
    </row>
    <row r="55" spans="2:12" x14ac:dyDescent="0.3">
      <c r="B55" s="109" t="s">
        <v>226</v>
      </c>
      <c r="C55" s="109" t="s">
        <v>227</v>
      </c>
      <c r="D55" s="109" t="s">
        <v>228</v>
      </c>
      <c r="E55" s="110">
        <v>1994</v>
      </c>
      <c r="F55" s="110" t="s">
        <v>225</v>
      </c>
      <c r="G55" s="111" t="s">
        <v>136</v>
      </c>
      <c r="H55" s="110">
        <v>52</v>
      </c>
      <c r="I55" s="110">
        <v>233</v>
      </c>
      <c r="J55" s="110">
        <v>59</v>
      </c>
      <c r="K55" s="112">
        <v>1.1346153846153846</v>
      </c>
      <c r="L55" s="112">
        <v>0.25321888412017168</v>
      </c>
    </row>
    <row r="56" spans="2:12" x14ac:dyDescent="0.3">
      <c r="B56" s="109" t="s">
        <v>229</v>
      </c>
      <c r="C56" s="109" t="s">
        <v>227</v>
      </c>
      <c r="D56" s="109" t="s">
        <v>228</v>
      </c>
      <c r="E56" s="110">
        <v>1997</v>
      </c>
      <c r="F56" s="110" t="s">
        <v>225</v>
      </c>
      <c r="G56" s="111" t="s">
        <v>136</v>
      </c>
      <c r="H56" s="110">
        <v>54</v>
      </c>
      <c r="I56" s="110">
        <v>234</v>
      </c>
      <c r="J56" s="110">
        <v>87</v>
      </c>
      <c r="K56" s="112">
        <v>1.6111111111111112</v>
      </c>
      <c r="L56" s="112">
        <v>0.37179487179487181</v>
      </c>
    </row>
    <row r="57" spans="2:12" x14ac:dyDescent="0.3">
      <c r="B57" s="109" t="s">
        <v>230</v>
      </c>
      <c r="C57" s="109" t="s">
        <v>208</v>
      </c>
      <c r="D57" s="109" t="s">
        <v>134</v>
      </c>
      <c r="E57" s="110">
        <v>1992</v>
      </c>
      <c r="F57" s="110" t="s">
        <v>225</v>
      </c>
      <c r="G57" s="111" t="s">
        <v>136</v>
      </c>
      <c r="H57" s="110">
        <v>50</v>
      </c>
      <c r="I57" s="110">
        <v>235</v>
      </c>
      <c r="J57" s="110">
        <v>56</v>
      </c>
      <c r="K57" s="112">
        <v>1.1200000000000001</v>
      </c>
      <c r="L57" s="112">
        <v>0.23829787234042554</v>
      </c>
    </row>
    <row r="58" spans="2:12" x14ac:dyDescent="0.3">
      <c r="B58" s="109" t="s">
        <v>231</v>
      </c>
      <c r="C58" s="109" t="s">
        <v>160</v>
      </c>
      <c r="D58" s="109" t="s">
        <v>134</v>
      </c>
      <c r="E58" s="110">
        <v>1992</v>
      </c>
      <c r="F58" s="110" t="s">
        <v>225</v>
      </c>
      <c r="G58" s="111" t="s">
        <v>136</v>
      </c>
      <c r="H58" s="110">
        <v>58</v>
      </c>
      <c r="I58" s="110">
        <v>236</v>
      </c>
      <c r="J58" s="110">
        <v>58</v>
      </c>
      <c r="K58" s="112">
        <v>1</v>
      </c>
      <c r="L58" s="112">
        <v>0.24576271186440679</v>
      </c>
    </row>
    <row r="59" spans="2:12" x14ac:dyDescent="0.3">
      <c r="B59" s="109" t="s">
        <v>232</v>
      </c>
      <c r="C59" s="109" t="s">
        <v>233</v>
      </c>
      <c r="D59" s="109" t="s">
        <v>234</v>
      </c>
      <c r="E59" s="110">
        <v>1991</v>
      </c>
      <c r="F59" s="110" t="s">
        <v>225</v>
      </c>
      <c r="G59" s="111" t="s">
        <v>136</v>
      </c>
      <c r="H59" s="110">
        <v>50</v>
      </c>
      <c r="I59" s="110">
        <v>236</v>
      </c>
      <c r="J59" s="110">
        <v>36</v>
      </c>
      <c r="K59" s="112">
        <v>0.72</v>
      </c>
      <c r="L59" s="112">
        <v>0.15254237288135594</v>
      </c>
    </row>
    <row r="60" spans="2:12" x14ac:dyDescent="0.3">
      <c r="B60" s="109" t="s">
        <v>235</v>
      </c>
      <c r="C60" s="109" t="s">
        <v>199</v>
      </c>
      <c r="D60" s="109" t="s">
        <v>185</v>
      </c>
      <c r="E60" s="110">
        <v>1994</v>
      </c>
      <c r="F60" s="110" t="s">
        <v>225</v>
      </c>
      <c r="G60" s="111" t="s">
        <v>136</v>
      </c>
      <c r="H60" s="110">
        <v>62</v>
      </c>
      <c r="I60" s="110">
        <v>238</v>
      </c>
      <c r="J60" s="110">
        <v>93</v>
      </c>
      <c r="K60" s="112">
        <v>1.5</v>
      </c>
      <c r="L60" s="112">
        <v>0.3907563025210084</v>
      </c>
    </row>
    <row r="61" spans="2:12" x14ac:dyDescent="0.3">
      <c r="B61" s="109" t="s">
        <v>236</v>
      </c>
      <c r="C61" s="109" t="s">
        <v>217</v>
      </c>
      <c r="D61" s="109" t="s">
        <v>134</v>
      </c>
      <c r="E61" s="110">
        <v>1991</v>
      </c>
      <c r="F61" s="110" t="s">
        <v>225</v>
      </c>
      <c r="G61" s="111" t="s">
        <v>136</v>
      </c>
      <c r="H61" s="110">
        <v>54</v>
      </c>
      <c r="I61" s="110">
        <v>241</v>
      </c>
      <c r="J61" s="110">
        <v>16</v>
      </c>
      <c r="K61" s="112">
        <v>0.29629629629629628</v>
      </c>
      <c r="L61" s="112">
        <v>6.6390041493775934E-2</v>
      </c>
    </row>
    <row r="62" spans="2:12" x14ac:dyDescent="0.3">
      <c r="B62" s="109" t="s">
        <v>237</v>
      </c>
      <c r="C62" s="109" t="s">
        <v>227</v>
      </c>
      <c r="D62" s="109" t="s">
        <v>228</v>
      </c>
      <c r="E62" s="110">
        <v>1991</v>
      </c>
      <c r="F62" s="110" t="s">
        <v>225</v>
      </c>
      <c r="G62" s="111" t="s">
        <v>136</v>
      </c>
      <c r="H62" s="110">
        <v>48</v>
      </c>
      <c r="I62" s="110">
        <v>243</v>
      </c>
      <c r="J62" s="110">
        <v>28</v>
      </c>
      <c r="K62" s="112">
        <v>0.58333333333333337</v>
      </c>
      <c r="L62" s="112">
        <v>0.11522633744855967</v>
      </c>
    </row>
    <row r="63" spans="2:12" x14ac:dyDescent="0.3">
      <c r="B63" s="109" t="s">
        <v>238</v>
      </c>
      <c r="C63" s="109" t="s">
        <v>239</v>
      </c>
      <c r="D63" s="109" t="s">
        <v>240</v>
      </c>
      <c r="E63" s="110">
        <v>1993</v>
      </c>
      <c r="F63" s="110" t="s">
        <v>225</v>
      </c>
      <c r="G63" s="111" t="s">
        <v>136</v>
      </c>
      <c r="H63" s="110">
        <v>51</v>
      </c>
      <c r="I63" s="110">
        <v>244</v>
      </c>
      <c r="J63" s="110">
        <v>92</v>
      </c>
      <c r="K63" s="112">
        <v>1.803921568627451</v>
      </c>
      <c r="L63" s="112">
        <v>0.37704918032786883</v>
      </c>
    </row>
    <row r="64" spans="2:12" x14ac:dyDescent="0.3">
      <c r="B64" s="109" t="s">
        <v>241</v>
      </c>
      <c r="C64" s="109" t="s">
        <v>242</v>
      </c>
      <c r="D64" s="109" t="s">
        <v>243</v>
      </c>
      <c r="E64" s="110">
        <v>1995</v>
      </c>
      <c r="F64" s="110" t="s">
        <v>225</v>
      </c>
      <c r="G64" s="111" t="s">
        <v>136</v>
      </c>
      <c r="H64" s="110">
        <v>46</v>
      </c>
      <c r="I64" s="110">
        <v>250</v>
      </c>
      <c r="J64" s="110">
        <v>87</v>
      </c>
      <c r="K64" s="112">
        <v>1.8913043478260869</v>
      </c>
      <c r="L64" s="112">
        <v>0.34799999999999998</v>
      </c>
    </row>
    <row r="65" spans="2:12" x14ac:dyDescent="0.3">
      <c r="B65" s="109" t="s">
        <v>244</v>
      </c>
      <c r="C65" s="109" t="s">
        <v>245</v>
      </c>
      <c r="D65" s="109" t="s">
        <v>228</v>
      </c>
      <c r="E65" s="110">
        <v>1995</v>
      </c>
      <c r="F65" s="110" t="s">
        <v>225</v>
      </c>
      <c r="G65" s="111" t="s">
        <v>136</v>
      </c>
      <c r="H65" s="110">
        <v>55</v>
      </c>
      <c r="I65" s="110">
        <v>252</v>
      </c>
      <c r="J65" s="110">
        <v>27</v>
      </c>
      <c r="K65" s="112">
        <v>0.49090909090909091</v>
      </c>
      <c r="L65" s="112">
        <v>0.10714285714285714</v>
      </c>
    </row>
    <row r="66" spans="2:12" x14ac:dyDescent="0.3">
      <c r="B66" s="109" t="s">
        <v>246</v>
      </c>
      <c r="C66" s="109" t="s">
        <v>245</v>
      </c>
      <c r="D66" s="109" t="s">
        <v>228</v>
      </c>
      <c r="E66" s="110">
        <v>1996</v>
      </c>
      <c r="F66" s="110" t="s">
        <v>225</v>
      </c>
      <c r="G66" s="111" t="s">
        <v>136</v>
      </c>
      <c r="H66" s="110">
        <v>56</v>
      </c>
      <c r="I66" s="110">
        <v>256</v>
      </c>
      <c r="J66" s="110">
        <v>75</v>
      </c>
      <c r="K66" s="112">
        <v>1.3392857142857142</v>
      </c>
      <c r="L66" s="112">
        <v>0.29296875</v>
      </c>
    </row>
    <row r="67" spans="2:12" x14ac:dyDescent="0.3">
      <c r="B67" s="109" t="s">
        <v>247</v>
      </c>
      <c r="C67" s="109" t="s">
        <v>248</v>
      </c>
      <c r="D67" s="109" t="s">
        <v>249</v>
      </c>
      <c r="E67" s="110">
        <v>1990</v>
      </c>
      <c r="F67" s="110" t="s">
        <v>225</v>
      </c>
      <c r="G67" s="111" t="s">
        <v>136</v>
      </c>
      <c r="H67" s="110">
        <v>63</v>
      </c>
      <c r="I67" s="110">
        <v>257</v>
      </c>
      <c r="J67" s="110">
        <v>41</v>
      </c>
      <c r="K67" s="112">
        <v>0.65079365079365081</v>
      </c>
      <c r="L67" s="112">
        <v>0.15953307392996108</v>
      </c>
    </row>
    <row r="68" spans="2:12" x14ac:dyDescent="0.3">
      <c r="B68" s="109" t="s">
        <v>250</v>
      </c>
      <c r="C68" s="109" t="s">
        <v>217</v>
      </c>
      <c r="D68" s="109" t="s">
        <v>134</v>
      </c>
      <c r="E68" s="110">
        <v>1990</v>
      </c>
      <c r="F68" s="110" t="s">
        <v>225</v>
      </c>
      <c r="G68" s="111" t="s">
        <v>136</v>
      </c>
      <c r="H68" s="110">
        <v>58</v>
      </c>
      <c r="I68" s="110">
        <v>258</v>
      </c>
      <c r="J68" s="110">
        <v>18</v>
      </c>
      <c r="K68" s="112">
        <v>0.31034482758620691</v>
      </c>
      <c r="L68" s="112">
        <v>6.9767441860465115E-2</v>
      </c>
    </row>
    <row r="69" spans="2:12" x14ac:dyDescent="0.3">
      <c r="B69" s="109" t="s">
        <v>251</v>
      </c>
      <c r="C69" s="109" t="s">
        <v>163</v>
      </c>
      <c r="D69" s="109" t="s">
        <v>164</v>
      </c>
      <c r="E69" s="110">
        <v>1990</v>
      </c>
      <c r="F69" s="110" t="s">
        <v>225</v>
      </c>
      <c r="G69" s="111" t="s">
        <v>136</v>
      </c>
      <c r="H69" s="110">
        <v>51</v>
      </c>
      <c r="I69" s="110">
        <v>263</v>
      </c>
      <c r="J69" s="110">
        <v>36</v>
      </c>
      <c r="K69" s="112">
        <v>0.70588235294117652</v>
      </c>
      <c r="L69" s="112">
        <v>0.13688212927756654</v>
      </c>
    </row>
    <row r="70" spans="2:12" x14ac:dyDescent="0.3">
      <c r="B70" s="109" t="s">
        <v>252</v>
      </c>
      <c r="C70" s="109" t="s">
        <v>208</v>
      </c>
      <c r="D70" s="109" t="s">
        <v>134</v>
      </c>
      <c r="E70" s="110">
        <v>1992</v>
      </c>
      <c r="F70" s="110" t="s">
        <v>225</v>
      </c>
      <c r="G70" s="111" t="s">
        <v>136</v>
      </c>
      <c r="H70" s="110">
        <v>60</v>
      </c>
      <c r="I70" s="110">
        <v>265</v>
      </c>
      <c r="J70" s="110">
        <v>30</v>
      </c>
      <c r="K70" s="112">
        <v>0.5</v>
      </c>
      <c r="L70" s="112">
        <v>0.11320754716981132</v>
      </c>
    </row>
    <row r="71" spans="2:12" x14ac:dyDescent="0.3">
      <c r="B71" s="109" t="s">
        <v>253</v>
      </c>
      <c r="C71" s="109" t="s">
        <v>254</v>
      </c>
      <c r="D71" s="109" t="s">
        <v>134</v>
      </c>
      <c r="E71" s="110">
        <v>1992</v>
      </c>
      <c r="F71" s="110" t="s">
        <v>225</v>
      </c>
      <c r="G71" s="111" t="s">
        <v>136</v>
      </c>
      <c r="H71" s="110">
        <v>60</v>
      </c>
      <c r="I71" s="110">
        <v>265</v>
      </c>
      <c r="J71" s="110">
        <v>11</v>
      </c>
      <c r="K71" s="112">
        <v>0.18333333333333332</v>
      </c>
      <c r="L71" s="112">
        <v>4.1509433962264149E-2</v>
      </c>
    </row>
    <row r="72" spans="2:12" x14ac:dyDescent="0.3">
      <c r="B72" s="109" t="s">
        <v>255</v>
      </c>
      <c r="C72" s="109" t="s">
        <v>190</v>
      </c>
      <c r="D72" s="109" t="s">
        <v>191</v>
      </c>
      <c r="E72" s="110">
        <v>1995</v>
      </c>
      <c r="F72" s="110" t="s">
        <v>225</v>
      </c>
      <c r="G72" s="111" t="s">
        <v>136</v>
      </c>
      <c r="H72" s="110">
        <v>66</v>
      </c>
      <c r="I72" s="110">
        <v>280</v>
      </c>
      <c r="J72" s="110">
        <v>56</v>
      </c>
      <c r="K72" s="112">
        <v>0.84848484848484851</v>
      </c>
      <c r="L72" s="112">
        <v>0.2</v>
      </c>
    </row>
    <row r="73" spans="2:12" x14ac:dyDescent="0.3">
      <c r="B73" s="109" t="s">
        <v>256</v>
      </c>
      <c r="C73" s="109" t="s">
        <v>190</v>
      </c>
      <c r="D73" s="109" t="s">
        <v>191</v>
      </c>
      <c r="E73" s="110">
        <v>1992</v>
      </c>
      <c r="F73" s="110" t="s">
        <v>225</v>
      </c>
      <c r="G73" s="111" t="s">
        <v>136</v>
      </c>
      <c r="H73" s="110">
        <v>66</v>
      </c>
      <c r="I73" s="110">
        <v>280</v>
      </c>
      <c r="J73" s="110">
        <v>36</v>
      </c>
      <c r="K73" s="112">
        <v>0.54545454545454541</v>
      </c>
      <c r="L73" s="112">
        <v>0.12857142857142856</v>
      </c>
    </row>
    <row r="74" spans="2:12" x14ac:dyDescent="0.3">
      <c r="B74" s="109" t="s">
        <v>257</v>
      </c>
      <c r="C74" s="109" t="s">
        <v>258</v>
      </c>
      <c r="D74" s="109" t="s">
        <v>223</v>
      </c>
      <c r="E74" s="110">
        <v>1999</v>
      </c>
      <c r="F74" s="110" t="s">
        <v>225</v>
      </c>
      <c r="G74" s="111" t="s">
        <v>136</v>
      </c>
      <c r="H74" s="110">
        <v>59</v>
      </c>
      <c r="I74" s="110">
        <v>285</v>
      </c>
      <c r="J74" s="110">
        <v>19</v>
      </c>
      <c r="K74" s="112">
        <v>0.32203389830508472</v>
      </c>
      <c r="L74" s="112">
        <v>6.6666666666666666E-2</v>
      </c>
    </row>
    <row r="75" spans="2:12" x14ac:dyDescent="0.3">
      <c r="B75" s="109" t="s">
        <v>259</v>
      </c>
      <c r="C75" s="109" t="s">
        <v>222</v>
      </c>
      <c r="D75" s="109" t="s">
        <v>223</v>
      </c>
      <c r="E75" s="110">
        <v>1999</v>
      </c>
      <c r="F75" s="110" t="s">
        <v>225</v>
      </c>
      <c r="G75" s="111" t="s">
        <v>136</v>
      </c>
      <c r="H75" s="110">
        <v>70</v>
      </c>
      <c r="I75" s="110">
        <v>290</v>
      </c>
      <c r="J75" s="110">
        <v>84</v>
      </c>
      <c r="K75" s="112">
        <v>1.2</v>
      </c>
      <c r="L75" s="112">
        <v>0.28965517241379313</v>
      </c>
    </row>
    <row r="76" spans="2:12" x14ac:dyDescent="0.3">
      <c r="B76" s="109" t="s">
        <v>260</v>
      </c>
      <c r="C76" s="109" t="s">
        <v>261</v>
      </c>
      <c r="D76" s="109" t="s">
        <v>134</v>
      </c>
      <c r="E76" s="110">
        <v>1991</v>
      </c>
      <c r="F76" s="110" t="s">
        <v>225</v>
      </c>
      <c r="G76" s="111" t="s">
        <v>136</v>
      </c>
      <c r="H76" s="110">
        <v>57</v>
      </c>
      <c r="I76" s="110">
        <v>290</v>
      </c>
      <c r="J76" s="110">
        <v>41</v>
      </c>
      <c r="K76" s="112">
        <v>0.7192982456140351</v>
      </c>
      <c r="L76" s="112">
        <v>0.14137931034482759</v>
      </c>
    </row>
    <row r="77" spans="2:12" x14ac:dyDescent="0.3">
      <c r="B77" s="109" t="s">
        <v>262</v>
      </c>
      <c r="C77" s="109" t="s">
        <v>157</v>
      </c>
      <c r="D77" s="109" t="s">
        <v>134</v>
      </c>
      <c r="E77" s="110">
        <v>1990</v>
      </c>
      <c r="F77" s="110" t="s">
        <v>225</v>
      </c>
      <c r="G77" s="111" t="s">
        <v>136</v>
      </c>
      <c r="H77" s="110">
        <v>65</v>
      </c>
      <c r="I77" s="110">
        <v>293</v>
      </c>
      <c r="J77" s="110">
        <v>90</v>
      </c>
      <c r="K77" s="112">
        <v>1.3846153846153846</v>
      </c>
      <c r="L77" s="112">
        <v>0.30716723549488056</v>
      </c>
    </row>
    <row r="78" spans="2:12" x14ac:dyDescent="0.3">
      <c r="B78" s="109" t="s">
        <v>263</v>
      </c>
      <c r="C78" s="109" t="s">
        <v>264</v>
      </c>
      <c r="D78" s="109" t="s">
        <v>228</v>
      </c>
      <c r="E78" s="110">
        <v>1993</v>
      </c>
      <c r="F78" s="110" t="s">
        <v>225</v>
      </c>
      <c r="G78" s="111" t="s">
        <v>136</v>
      </c>
      <c r="H78" s="110">
        <v>70</v>
      </c>
      <c r="I78" s="110">
        <v>296</v>
      </c>
      <c r="J78" s="110">
        <v>46</v>
      </c>
      <c r="K78" s="112">
        <v>0.65714285714285714</v>
      </c>
      <c r="L78" s="112">
        <v>0.1554054054054054</v>
      </c>
    </row>
    <row r="79" spans="2:12" x14ac:dyDescent="0.3">
      <c r="B79" s="109" t="s">
        <v>265</v>
      </c>
      <c r="C79" s="109" t="s">
        <v>248</v>
      </c>
      <c r="D79" s="109" t="s">
        <v>249</v>
      </c>
      <c r="E79" s="110">
        <v>1997</v>
      </c>
      <c r="F79" s="110" t="s">
        <v>225</v>
      </c>
      <c r="G79" s="111" t="s">
        <v>136</v>
      </c>
      <c r="H79" s="110">
        <v>63</v>
      </c>
      <c r="I79" s="110">
        <v>299</v>
      </c>
      <c r="J79" s="110">
        <v>15</v>
      </c>
      <c r="K79" s="112">
        <v>0.23809523809523808</v>
      </c>
      <c r="L79" s="112">
        <v>5.016722408026756E-2</v>
      </c>
    </row>
    <row r="80" spans="2:12" x14ac:dyDescent="0.3">
      <c r="B80" s="109" t="s">
        <v>266</v>
      </c>
      <c r="C80" s="109" t="s">
        <v>267</v>
      </c>
      <c r="D80" s="109" t="s">
        <v>268</v>
      </c>
      <c r="E80" s="110">
        <v>1995</v>
      </c>
      <c r="F80" s="110" t="s">
        <v>225</v>
      </c>
      <c r="G80" s="111" t="s">
        <v>136</v>
      </c>
      <c r="H80" s="110">
        <v>105</v>
      </c>
      <c r="I80" s="110">
        <v>300</v>
      </c>
      <c r="J80" s="110">
        <v>71</v>
      </c>
      <c r="K80" s="112">
        <v>0.67619047619047623</v>
      </c>
      <c r="L80" s="112">
        <v>0.23666666666666666</v>
      </c>
    </row>
    <row r="81" spans="2:12" x14ac:dyDescent="0.3">
      <c r="B81" s="109" t="s">
        <v>269</v>
      </c>
      <c r="C81" s="109" t="s">
        <v>157</v>
      </c>
      <c r="D81" s="109" t="s">
        <v>134</v>
      </c>
      <c r="E81" s="110">
        <v>1990</v>
      </c>
      <c r="F81" s="110" t="s">
        <v>225</v>
      </c>
      <c r="G81" s="111" t="s">
        <v>142</v>
      </c>
      <c r="H81" s="110">
        <v>64</v>
      </c>
      <c r="I81" s="110">
        <v>303</v>
      </c>
      <c r="J81" s="110">
        <v>12</v>
      </c>
      <c r="K81" s="112">
        <v>0.1875</v>
      </c>
      <c r="L81" s="112">
        <v>3.9603960396039604E-2</v>
      </c>
    </row>
    <row r="82" spans="2:12" x14ac:dyDescent="0.3">
      <c r="B82" s="109" t="s">
        <v>270</v>
      </c>
      <c r="C82" s="109" t="s">
        <v>172</v>
      </c>
      <c r="D82" s="109" t="s">
        <v>134</v>
      </c>
      <c r="E82" s="110">
        <v>1990</v>
      </c>
      <c r="F82" s="110" t="s">
        <v>225</v>
      </c>
      <c r="G82" s="111" t="s">
        <v>142</v>
      </c>
      <c r="H82" s="110">
        <v>75</v>
      </c>
      <c r="I82" s="110">
        <v>310</v>
      </c>
      <c r="J82" s="110">
        <v>57</v>
      </c>
      <c r="K82" s="112">
        <v>0.76</v>
      </c>
      <c r="L82" s="112">
        <v>0.18387096774193548</v>
      </c>
    </row>
    <row r="83" spans="2:12" x14ac:dyDescent="0.3">
      <c r="B83" s="109" t="s">
        <v>271</v>
      </c>
      <c r="C83" s="109" t="s">
        <v>199</v>
      </c>
      <c r="D83" s="109" t="s">
        <v>185</v>
      </c>
      <c r="E83" s="110">
        <v>1999</v>
      </c>
      <c r="F83" s="110" t="s">
        <v>225</v>
      </c>
      <c r="G83" s="111" t="s">
        <v>142</v>
      </c>
      <c r="H83" s="110">
        <v>55</v>
      </c>
      <c r="I83" s="110">
        <v>310</v>
      </c>
      <c r="J83" s="110">
        <v>83</v>
      </c>
      <c r="K83" s="112">
        <v>1.509090909090909</v>
      </c>
      <c r="L83" s="112">
        <v>0.26774193548387099</v>
      </c>
    </row>
    <row r="84" spans="2:12" x14ac:dyDescent="0.3">
      <c r="B84" s="109" t="s">
        <v>272</v>
      </c>
      <c r="C84" s="109" t="s">
        <v>208</v>
      </c>
      <c r="D84" s="109" t="s">
        <v>134</v>
      </c>
      <c r="E84" s="110">
        <v>1993</v>
      </c>
      <c r="F84" s="110" t="s">
        <v>225</v>
      </c>
      <c r="G84" s="111" t="s">
        <v>142</v>
      </c>
      <c r="H84" s="110">
        <v>55</v>
      </c>
      <c r="I84" s="110">
        <v>312</v>
      </c>
      <c r="J84" s="110">
        <v>71</v>
      </c>
      <c r="K84" s="112">
        <v>1.290909090909091</v>
      </c>
      <c r="L84" s="112">
        <v>0.22756410256410256</v>
      </c>
    </row>
    <row r="85" spans="2:12" x14ac:dyDescent="0.3">
      <c r="B85" s="109" t="s">
        <v>273</v>
      </c>
      <c r="C85" s="109" t="s">
        <v>274</v>
      </c>
      <c r="D85" s="109" t="s">
        <v>275</v>
      </c>
      <c r="E85" s="110">
        <v>1997</v>
      </c>
      <c r="F85" s="110" t="s">
        <v>225</v>
      </c>
      <c r="G85" s="111" t="s">
        <v>142</v>
      </c>
      <c r="H85" s="110">
        <v>90</v>
      </c>
      <c r="I85" s="110">
        <v>320</v>
      </c>
      <c r="J85" s="110">
        <v>80</v>
      </c>
      <c r="K85" s="112">
        <v>0.88888888888888884</v>
      </c>
      <c r="L85" s="112">
        <v>0.25</v>
      </c>
    </row>
    <row r="86" spans="2:12" x14ac:dyDescent="0.3">
      <c r="B86" s="109" t="s">
        <v>276</v>
      </c>
      <c r="C86" s="109" t="s">
        <v>277</v>
      </c>
      <c r="D86" s="109" t="s">
        <v>277</v>
      </c>
      <c r="E86" s="110">
        <v>1998</v>
      </c>
      <c r="F86" s="110" t="s">
        <v>225</v>
      </c>
      <c r="G86" s="111" t="s">
        <v>142</v>
      </c>
      <c r="H86" s="110">
        <v>60</v>
      </c>
      <c r="I86" s="110">
        <v>321</v>
      </c>
      <c r="J86" s="110">
        <v>79</v>
      </c>
      <c r="K86" s="112">
        <v>1.3166666666666667</v>
      </c>
      <c r="L86" s="112">
        <v>0.24610591900311526</v>
      </c>
    </row>
    <row r="87" spans="2:12" x14ac:dyDescent="0.3">
      <c r="B87" s="109" t="s">
        <v>278</v>
      </c>
      <c r="C87" s="109" t="s">
        <v>279</v>
      </c>
      <c r="D87" s="109" t="s">
        <v>240</v>
      </c>
      <c r="E87" s="110">
        <v>1997</v>
      </c>
      <c r="F87" s="110" t="s">
        <v>225</v>
      </c>
      <c r="G87" s="111" t="s">
        <v>142</v>
      </c>
      <c r="H87" s="110">
        <v>85</v>
      </c>
      <c r="I87" s="110">
        <v>348</v>
      </c>
      <c r="J87" s="110">
        <v>55</v>
      </c>
      <c r="K87" s="112">
        <v>0.6470588235294118</v>
      </c>
      <c r="L87" s="112">
        <v>0.15804597701149425</v>
      </c>
    </row>
    <row r="88" spans="2:12" x14ac:dyDescent="0.3">
      <c r="B88" s="109" t="s">
        <v>280</v>
      </c>
      <c r="C88" s="109" t="s">
        <v>222</v>
      </c>
      <c r="D88" s="109" t="s">
        <v>223</v>
      </c>
      <c r="E88" s="110">
        <v>1998</v>
      </c>
      <c r="F88" s="110" t="s">
        <v>225</v>
      </c>
      <c r="G88" s="111" t="s">
        <v>142</v>
      </c>
      <c r="H88" s="110">
        <v>79</v>
      </c>
      <c r="I88" s="110">
        <v>350</v>
      </c>
      <c r="J88" s="110">
        <v>74</v>
      </c>
      <c r="K88" s="112">
        <v>0.93670886075949367</v>
      </c>
      <c r="L88" s="112">
        <v>0.21142857142857144</v>
      </c>
    </row>
    <row r="89" spans="2:12" x14ac:dyDescent="0.3">
      <c r="B89" s="109" t="s">
        <v>281</v>
      </c>
      <c r="C89" s="109" t="s">
        <v>222</v>
      </c>
      <c r="D89" s="109" t="s">
        <v>223</v>
      </c>
      <c r="E89" s="110">
        <v>1992</v>
      </c>
      <c r="F89" s="110" t="s">
        <v>225</v>
      </c>
      <c r="G89" s="111" t="s">
        <v>142</v>
      </c>
      <c r="H89" s="110">
        <v>78</v>
      </c>
      <c r="I89" s="110">
        <v>374</v>
      </c>
      <c r="J89" s="110">
        <v>36</v>
      </c>
      <c r="K89" s="112">
        <v>0.46153846153846156</v>
      </c>
      <c r="L89" s="112">
        <v>9.6256684491978606E-2</v>
      </c>
    </row>
    <row r="90" spans="2:12" x14ac:dyDescent="0.3">
      <c r="B90" s="109" t="s">
        <v>282</v>
      </c>
      <c r="C90" s="109" t="s">
        <v>283</v>
      </c>
      <c r="D90" s="109" t="s">
        <v>223</v>
      </c>
      <c r="E90" s="110">
        <v>1996</v>
      </c>
      <c r="F90" s="110" t="s">
        <v>225</v>
      </c>
      <c r="G90" s="111" t="s">
        <v>142</v>
      </c>
      <c r="H90" s="110">
        <v>69</v>
      </c>
      <c r="I90" s="110">
        <v>384</v>
      </c>
      <c r="J90" s="110">
        <v>46</v>
      </c>
      <c r="K90" s="112">
        <v>0.66666666666666663</v>
      </c>
      <c r="L90" s="112">
        <v>0.11979166666666667</v>
      </c>
    </row>
    <row r="91" spans="2:12" x14ac:dyDescent="0.3">
      <c r="B91" s="109" t="s">
        <v>284</v>
      </c>
      <c r="C91" s="109" t="s">
        <v>285</v>
      </c>
      <c r="D91" s="109" t="s">
        <v>223</v>
      </c>
      <c r="E91" s="110">
        <v>1996</v>
      </c>
      <c r="F91" s="110" t="s">
        <v>225</v>
      </c>
      <c r="G91" s="111" t="s">
        <v>142</v>
      </c>
      <c r="H91" s="110">
        <v>80</v>
      </c>
      <c r="I91" s="110">
        <v>391</v>
      </c>
      <c r="J91" s="110">
        <v>25</v>
      </c>
      <c r="K91" s="112">
        <v>0.3125</v>
      </c>
      <c r="L91" s="112">
        <v>6.3938618925831206E-2</v>
      </c>
    </row>
    <row r="92" spans="2:12" x14ac:dyDescent="0.3">
      <c r="B92" s="109" t="s">
        <v>286</v>
      </c>
      <c r="C92" s="109" t="s">
        <v>258</v>
      </c>
      <c r="D92" s="109" t="s">
        <v>223</v>
      </c>
      <c r="E92" s="110">
        <v>1999</v>
      </c>
      <c r="F92" s="110" t="s">
        <v>225</v>
      </c>
      <c r="G92" s="111" t="s">
        <v>179</v>
      </c>
      <c r="H92" s="110">
        <v>88</v>
      </c>
      <c r="I92" s="110">
        <v>421</v>
      </c>
      <c r="J92" s="110">
        <v>32</v>
      </c>
      <c r="K92" s="112">
        <v>0.36363636363636365</v>
      </c>
      <c r="L92" s="112">
        <v>7.6009501187648459E-2</v>
      </c>
    </row>
    <row r="93" spans="2:12" x14ac:dyDescent="0.3">
      <c r="B93" s="109" t="s">
        <v>287</v>
      </c>
      <c r="C93" s="109" t="s">
        <v>199</v>
      </c>
      <c r="D93" s="109" t="s">
        <v>185</v>
      </c>
      <c r="E93" s="110">
        <v>1998</v>
      </c>
      <c r="F93" s="110" t="s">
        <v>225</v>
      </c>
      <c r="G93" s="111" t="s">
        <v>179</v>
      </c>
      <c r="H93" s="110">
        <v>88</v>
      </c>
      <c r="I93" s="110">
        <v>452</v>
      </c>
      <c r="J93" s="110">
        <v>75</v>
      </c>
      <c r="K93" s="112">
        <v>0.85227272727272729</v>
      </c>
      <c r="L93" s="112">
        <v>0.16592920353982302</v>
      </c>
    </row>
    <row r="94" spans="2:12" x14ac:dyDescent="0.3">
      <c r="B94" s="109" t="s">
        <v>288</v>
      </c>
      <c r="C94" s="109" t="s">
        <v>199</v>
      </c>
      <c r="D94" s="109" t="s">
        <v>185</v>
      </c>
      <c r="E94" s="110">
        <v>1998</v>
      </c>
      <c r="F94" s="110" t="s">
        <v>225</v>
      </c>
      <c r="G94" s="111" t="s">
        <v>179</v>
      </c>
      <c r="H94" s="110">
        <v>88</v>
      </c>
      <c r="I94" s="110">
        <v>452</v>
      </c>
      <c r="J94" s="110">
        <v>95</v>
      </c>
      <c r="K94" s="112">
        <v>1.0795454545454546</v>
      </c>
      <c r="L94" s="112">
        <v>0.21017699115044247</v>
      </c>
    </row>
    <row r="95" spans="2:12" x14ac:dyDescent="0.3">
      <c r="B95" s="109" t="s">
        <v>289</v>
      </c>
      <c r="C95" s="109" t="s">
        <v>290</v>
      </c>
      <c r="D95" s="109" t="s">
        <v>228</v>
      </c>
      <c r="E95" s="110">
        <v>2002</v>
      </c>
      <c r="F95" s="110" t="s">
        <v>291</v>
      </c>
      <c r="G95" s="111" t="s">
        <v>136</v>
      </c>
      <c r="H95" s="110">
        <v>51</v>
      </c>
      <c r="I95" s="110">
        <v>245</v>
      </c>
      <c r="J95" s="110">
        <v>66</v>
      </c>
      <c r="K95" s="112">
        <v>1.2941176470588236</v>
      </c>
      <c r="L95" s="112">
        <v>0.26938775510204083</v>
      </c>
    </row>
    <row r="96" spans="2:12" x14ac:dyDescent="0.3">
      <c r="B96" s="109" t="s">
        <v>292</v>
      </c>
      <c r="C96" s="109" t="s">
        <v>293</v>
      </c>
      <c r="D96" s="109" t="s">
        <v>294</v>
      </c>
      <c r="E96" s="110">
        <v>2002</v>
      </c>
      <c r="F96" s="110" t="s">
        <v>291</v>
      </c>
      <c r="G96" s="111" t="s">
        <v>136</v>
      </c>
      <c r="H96" s="110">
        <v>30</v>
      </c>
      <c r="I96" s="110">
        <v>274</v>
      </c>
      <c r="J96" s="110">
        <v>99</v>
      </c>
      <c r="K96" s="112">
        <v>3.3</v>
      </c>
      <c r="L96" s="112">
        <v>0.36131386861313869</v>
      </c>
    </row>
    <row r="97" spans="2:12" x14ac:dyDescent="0.3">
      <c r="B97" s="109" t="s">
        <v>295</v>
      </c>
      <c r="C97" s="109" t="s">
        <v>258</v>
      </c>
      <c r="D97" s="109" t="s">
        <v>223</v>
      </c>
      <c r="E97" s="110">
        <v>2002</v>
      </c>
      <c r="F97" s="110" t="s">
        <v>291</v>
      </c>
      <c r="G97" s="111" t="s">
        <v>136</v>
      </c>
      <c r="H97" s="110">
        <v>66</v>
      </c>
      <c r="I97" s="110">
        <v>288</v>
      </c>
      <c r="J97" s="110">
        <v>91</v>
      </c>
      <c r="K97" s="112">
        <v>1.3787878787878789</v>
      </c>
      <c r="L97" s="112">
        <v>0.31597222222222221</v>
      </c>
    </row>
    <row r="98" spans="2:12" x14ac:dyDescent="0.3">
      <c r="B98" s="109" t="s">
        <v>296</v>
      </c>
      <c r="C98" s="109" t="s">
        <v>277</v>
      </c>
      <c r="D98" s="109" t="s">
        <v>277</v>
      </c>
      <c r="E98" s="110">
        <v>2002</v>
      </c>
      <c r="F98" s="110" t="s">
        <v>291</v>
      </c>
      <c r="G98" s="111" t="s">
        <v>142</v>
      </c>
      <c r="H98" s="110">
        <v>54</v>
      </c>
      <c r="I98" s="110">
        <v>309</v>
      </c>
      <c r="J98" s="110">
        <v>66</v>
      </c>
      <c r="K98" s="112">
        <v>1.2222222222222223</v>
      </c>
      <c r="L98" s="112">
        <v>0.21359223300970873</v>
      </c>
    </row>
    <row r="99" spans="2:12" x14ac:dyDescent="0.3">
      <c r="B99" s="109" t="s">
        <v>297</v>
      </c>
      <c r="C99" s="109" t="s">
        <v>293</v>
      </c>
      <c r="D99" s="109" t="s">
        <v>294</v>
      </c>
      <c r="E99" s="110">
        <v>2002</v>
      </c>
      <c r="F99" s="110" t="s">
        <v>291</v>
      </c>
      <c r="G99" s="111" t="s">
        <v>142</v>
      </c>
      <c r="H99" s="110">
        <v>30</v>
      </c>
      <c r="I99" s="110">
        <v>345</v>
      </c>
      <c r="J99" s="110">
        <v>86</v>
      </c>
      <c r="K99" s="112">
        <v>2.8666666666666667</v>
      </c>
      <c r="L99" s="112">
        <v>0.24927536231884059</v>
      </c>
    </row>
    <row r="100" spans="2:12" x14ac:dyDescent="0.3">
      <c r="B100" s="109" t="s">
        <v>298</v>
      </c>
      <c r="C100" s="109" t="s">
        <v>277</v>
      </c>
      <c r="D100" s="109" t="s">
        <v>277</v>
      </c>
      <c r="E100" s="110">
        <v>2002</v>
      </c>
      <c r="F100" s="110" t="s">
        <v>291</v>
      </c>
      <c r="G100" s="111" t="s">
        <v>142</v>
      </c>
      <c r="H100" s="110">
        <v>55</v>
      </c>
      <c r="I100" s="110">
        <v>355</v>
      </c>
      <c r="J100" s="110">
        <v>52</v>
      </c>
      <c r="K100" s="112">
        <v>0.94545454545454544</v>
      </c>
      <c r="L100" s="112">
        <v>0.14647887323943662</v>
      </c>
    </row>
    <row r="102" spans="2:12" x14ac:dyDescent="0.3">
      <c r="J102" s="101" t="s">
        <v>299</v>
      </c>
      <c r="K102" s="102">
        <f>SUM(K3:K101)</f>
        <v>92.350522521971556</v>
      </c>
      <c r="L102" s="102">
        <f>SUM(L3:L101)</f>
        <v>19.902738996403539</v>
      </c>
    </row>
    <row r="103" spans="2:12" x14ac:dyDescent="0.3">
      <c r="H103" s="103"/>
      <c r="I103" s="103"/>
      <c r="J103" s="104" t="s">
        <v>300</v>
      </c>
      <c r="K103" s="102">
        <f>AVERAGE(Cost_per_Storey)</f>
        <v>0.94235227063236282</v>
      </c>
      <c r="L103" s="102">
        <f>AVERAGE(Cost_per_Metre)</f>
        <v>0.20308917343268917</v>
      </c>
    </row>
    <row r="104" spans="2:12" x14ac:dyDescent="0.3">
      <c r="J104" s="104" t="s">
        <v>23</v>
      </c>
      <c r="K104" s="102">
        <f>MAX(Cost_per_Storey)</f>
        <v>3.3</v>
      </c>
      <c r="L104" s="102">
        <f>MAX(Cost_per_Metre)</f>
        <v>0.39574468085106385</v>
      </c>
    </row>
    <row r="105" spans="2:12" x14ac:dyDescent="0.3">
      <c r="J105" s="105" t="s">
        <v>24</v>
      </c>
      <c r="K105" s="102">
        <f>MIN(Cost_per_Storey)</f>
        <v>0.18333333333333332</v>
      </c>
      <c r="L105" s="102">
        <f>MIN(Cost_per_Metre)</f>
        <v>3.9603960396039604E-2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7B04-3CAA-4933-9BD3-90DB6A6700D4}">
  <dimension ref="B20:I30"/>
  <sheetViews>
    <sheetView topLeftCell="A11" workbookViewId="0">
      <selection activeCell="D27" sqref="D27"/>
    </sheetView>
  </sheetViews>
  <sheetFormatPr defaultRowHeight="14.4" x14ac:dyDescent="0.3"/>
  <cols>
    <col min="2" max="2" width="20.6640625" customWidth="1"/>
    <col min="3" max="3" width="11.33203125" bestFit="1" customWidth="1"/>
    <col min="4" max="4" width="18.33203125" bestFit="1" customWidth="1"/>
    <col min="6" max="6" width="10" bestFit="1" customWidth="1"/>
    <col min="9" max="9" width="74.6640625" customWidth="1"/>
    <col min="10" max="10" width="8.33203125" customWidth="1"/>
  </cols>
  <sheetData>
    <row r="20" spans="2:9" ht="18" x14ac:dyDescent="0.35">
      <c r="B20" s="75" t="s">
        <v>80</v>
      </c>
    </row>
    <row r="22" spans="2:9" ht="22.2" customHeight="1" x14ac:dyDescent="0.3">
      <c r="C22" s="120" t="s">
        <v>81</v>
      </c>
      <c r="D22" s="121" t="s">
        <v>82</v>
      </c>
    </row>
    <row r="23" spans="2:9" x14ac:dyDescent="0.3">
      <c r="B23" s="119" t="s">
        <v>83</v>
      </c>
      <c r="C23" s="113">
        <v>781311</v>
      </c>
      <c r="D23" s="113">
        <f>Sales*Forecasting!Growth</f>
        <v>48441.281999999999</v>
      </c>
      <c r="F23" s="118" t="s">
        <v>84</v>
      </c>
      <c r="G23" s="114">
        <v>6.2E-2</v>
      </c>
    </row>
    <row r="24" spans="2:9" ht="15.6" x14ac:dyDescent="0.3">
      <c r="B24" s="119" t="s">
        <v>301</v>
      </c>
      <c r="C24" s="113">
        <v>236966</v>
      </c>
      <c r="D24" s="113">
        <f>Direct_Costs*Forecasting!Wages_inc</f>
        <v>3080.558</v>
      </c>
      <c r="F24" s="118" t="s">
        <v>85</v>
      </c>
      <c r="G24" s="114">
        <v>1.2999999999999999E-2</v>
      </c>
      <c r="I24" s="122" t="s">
        <v>87</v>
      </c>
    </row>
    <row r="25" spans="2:9" x14ac:dyDescent="0.3">
      <c r="B25" s="119" t="s">
        <v>302</v>
      </c>
      <c r="C25" s="113">
        <v>106392</v>
      </c>
      <c r="D25" s="113">
        <f>Indirect_Costs*Forecasting!Utilities_inc</f>
        <v>3085.3679999999999</v>
      </c>
      <c r="F25" s="118" t="s">
        <v>86</v>
      </c>
      <c r="G25" s="114">
        <v>2.9000000000000001E-2</v>
      </c>
    </row>
    <row r="26" spans="2:9" ht="15.6" x14ac:dyDescent="0.3">
      <c r="B26" s="119" t="s">
        <v>303</v>
      </c>
      <c r="C26" s="115">
        <v>437953</v>
      </c>
      <c r="D26" s="115">
        <f>Project_Basic_Profits-Projected_Sales_Forecasting-Projected_Direct_Costs_Forecasting-Projected_Indirect_Costs_Forecasting</f>
        <v>383345.79199999996</v>
      </c>
      <c r="I26" s="122" t="s">
        <v>88</v>
      </c>
    </row>
    <row r="28" spans="2:9" ht="15.6" x14ac:dyDescent="0.3">
      <c r="B28" s="119" t="s">
        <v>304</v>
      </c>
      <c r="C28">
        <f>Projected_Sales_Forecasting</f>
        <v>48441.281999999999</v>
      </c>
      <c r="I28" s="122" t="s">
        <v>89</v>
      </c>
    </row>
    <row r="29" spans="2:9" x14ac:dyDescent="0.3">
      <c r="B29" s="119" t="s">
        <v>305</v>
      </c>
      <c r="C29">
        <f>Projected_Direct_Costs_Forecasting</f>
        <v>3080.558</v>
      </c>
    </row>
    <row r="30" spans="2:9" ht="15.6" x14ac:dyDescent="0.3">
      <c r="B30" s="119" t="s">
        <v>306</v>
      </c>
      <c r="C30">
        <f>Projected_Indirect_Costs_Forecasting</f>
        <v>3085.3679999999999</v>
      </c>
      <c r="I30" s="1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3439-D209-4EC7-99BF-EEA127912032}">
  <dimension ref="A1:F12"/>
  <sheetViews>
    <sheetView workbookViewId="0">
      <selection activeCell="G10" sqref="G10"/>
    </sheetView>
  </sheetViews>
  <sheetFormatPr defaultRowHeight="14.4" x14ac:dyDescent="0.3"/>
  <cols>
    <col min="1" max="1" width="11.21875" customWidth="1"/>
    <col min="2" max="2" width="14.77734375" customWidth="1"/>
    <col min="3" max="3" width="10.88671875" customWidth="1"/>
    <col min="5" max="5" width="12.44140625" customWidth="1"/>
  </cols>
  <sheetData>
    <row r="1" spans="1:6" ht="18" x14ac:dyDescent="0.35">
      <c r="A1" s="89" t="s">
        <v>95</v>
      </c>
    </row>
    <row r="3" spans="1:6" x14ac:dyDescent="0.3">
      <c r="A3" s="90" t="s">
        <v>28</v>
      </c>
      <c r="B3" s="76" t="s">
        <v>96</v>
      </c>
      <c r="C3" s="76" t="s">
        <v>97</v>
      </c>
    </row>
    <row r="4" spans="1:6" x14ac:dyDescent="0.3">
      <c r="A4" t="s">
        <v>98</v>
      </c>
      <c r="B4" s="93">
        <v>875</v>
      </c>
      <c r="C4" s="95" cm="1">
        <f t="array" ref="C4:C12">Euros*Exchange_Rate</f>
        <v>647.5</v>
      </c>
      <c r="E4" s="91" t="s">
        <v>99</v>
      </c>
      <c r="F4" s="92">
        <v>0.74</v>
      </c>
    </row>
    <row r="5" spans="1:6" x14ac:dyDescent="0.3">
      <c r="A5" t="s">
        <v>100</v>
      </c>
      <c r="B5" s="93">
        <v>98</v>
      </c>
      <c r="C5" s="95">
        <v>72.52</v>
      </c>
    </row>
    <row r="6" spans="1:6" x14ac:dyDescent="0.3">
      <c r="A6" t="s">
        <v>101</v>
      </c>
      <c r="B6" s="93">
        <v>450</v>
      </c>
      <c r="C6" s="95">
        <v>333</v>
      </c>
    </row>
    <row r="7" spans="1:6" x14ac:dyDescent="0.3">
      <c r="A7" t="s">
        <v>102</v>
      </c>
      <c r="B7" s="93">
        <v>275</v>
      </c>
      <c r="C7" s="95">
        <v>203.5</v>
      </c>
    </row>
    <row r="8" spans="1:6" x14ac:dyDescent="0.3">
      <c r="A8" t="s">
        <v>103</v>
      </c>
      <c r="B8" s="93">
        <v>32</v>
      </c>
      <c r="C8" s="95">
        <v>23.68</v>
      </c>
    </row>
    <row r="9" spans="1:6" x14ac:dyDescent="0.3">
      <c r="A9" t="s">
        <v>104</v>
      </c>
      <c r="B9" s="93">
        <v>492</v>
      </c>
      <c r="C9" s="95">
        <v>364.08</v>
      </c>
    </row>
    <row r="10" spans="1:6" x14ac:dyDescent="0.3">
      <c r="A10" t="s">
        <v>105</v>
      </c>
      <c r="B10" s="93">
        <v>67</v>
      </c>
      <c r="C10" s="95">
        <v>49.58</v>
      </c>
    </row>
    <row r="11" spans="1:6" x14ac:dyDescent="0.3">
      <c r="A11" t="s">
        <v>106</v>
      </c>
      <c r="B11" s="93">
        <v>85</v>
      </c>
      <c r="C11" s="95">
        <v>62.9</v>
      </c>
    </row>
    <row r="12" spans="1:6" x14ac:dyDescent="0.3">
      <c r="A12" t="s">
        <v>107</v>
      </c>
      <c r="B12" s="94">
        <f>SUM(B4:B11)</f>
        <v>2374</v>
      </c>
      <c r="C12" s="96">
        <v>1756.76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1707-7140-4302-91F6-44D2C2256531}">
  <dimension ref="A1:G12"/>
  <sheetViews>
    <sheetView workbookViewId="0">
      <selection activeCell="Q18" sqref="Q18"/>
    </sheetView>
  </sheetViews>
  <sheetFormatPr defaultRowHeight="14.4" x14ac:dyDescent="0.3"/>
  <cols>
    <col min="1" max="1" width="25" customWidth="1"/>
  </cols>
  <sheetData>
    <row r="1" spans="1:7" ht="15.6" x14ac:dyDescent="0.3">
      <c r="A1" s="97" t="s">
        <v>108</v>
      </c>
    </row>
    <row r="3" spans="1:7" x14ac:dyDescent="0.3">
      <c r="B3" s="98" t="s">
        <v>83</v>
      </c>
      <c r="C3" s="98" t="s">
        <v>109</v>
      </c>
      <c r="D3" s="98" t="s">
        <v>110</v>
      </c>
      <c r="E3" s="98" t="s">
        <v>41</v>
      </c>
    </row>
    <row r="4" spans="1:7" x14ac:dyDescent="0.3">
      <c r="A4" t="s">
        <v>111</v>
      </c>
      <c r="B4" s="70">
        <v>300</v>
      </c>
      <c r="C4" s="70" cm="1">
        <f t="array" ref="C4:C6">Sales*Sale_Price</f>
        <v>525</v>
      </c>
      <c r="D4" s="70" cm="1">
        <f t="array" ref="D4:D6">(Ingredients*Sales)+(Overheads*Sales)</f>
        <v>240</v>
      </c>
      <c r="E4" s="70" cm="1">
        <f t="array" ref="E4:E6">Revenue-Costs</f>
        <v>285</v>
      </c>
    </row>
    <row r="5" spans="1:7" x14ac:dyDescent="0.3">
      <c r="A5" t="s">
        <v>112</v>
      </c>
      <c r="B5" s="70">
        <v>200</v>
      </c>
      <c r="C5" s="70">
        <v>350</v>
      </c>
      <c r="D5" s="70">
        <v>160</v>
      </c>
      <c r="E5" s="70">
        <v>190</v>
      </c>
    </row>
    <row r="6" spans="1:7" x14ac:dyDescent="0.3">
      <c r="A6" t="s">
        <v>113</v>
      </c>
      <c r="B6" s="70">
        <v>450</v>
      </c>
      <c r="C6" s="70">
        <v>787.5</v>
      </c>
      <c r="D6" s="70">
        <v>360</v>
      </c>
      <c r="E6" s="70">
        <v>427.5</v>
      </c>
    </row>
    <row r="8" spans="1:7" ht="15" x14ac:dyDescent="0.35">
      <c r="G8" s="100" t="s">
        <v>118</v>
      </c>
    </row>
    <row r="9" spans="1:7" x14ac:dyDescent="0.3">
      <c r="A9" t="s">
        <v>114</v>
      </c>
      <c r="B9" s="70">
        <v>0.32</v>
      </c>
    </row>
    <row r="10" spans="1:7" ht="15" x14ac:dyDescent="0.35">
      <c r="A10" t="s">
        <v>115</v>
      </c>
      <c r="B10" s="70">
        <v>1.75</v>
      </c>
      <c r="G10" s="100" t="s">
        <v>119</v>
      </c>
    </row>
    <row r="11" spans="1:7" x14ac:dyDescent="0.3">
      <c r="A11" t="s">
        <v>116</v>
      </c>
      <c r="B11" s="70">
        <v>0.48</v>
      </c>
    </row>
    <row r="12" spans="1:7" ht="15" x14ac:dyDescent="0.35">
      <c r="A12" s="99" t="s">
        <v>117</v>
      </c>
      <c r="G12" s="100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64DD-CBDD-4BCE-B4D9-9F94B64150D9}">
  <dimension ref="A1:J21"/>
  <sheetViews>
    <sheetView workbookViewId="0">
      <selection activeCell="H19" sqref="H19"/>
    </sheetView>
  </sheetViews>
  <sheetFormatPr defaultRowHeight="14.4" x14ac:dyDescent="0.3"/>
  <cols>
    <col min="1" max="1" width="14.6640625" customWidth="1"/>
    <col min="2" max="2" width="8.33203125" bestFit="1" customWidth="1"/>
    <col min="3" max="3" width="5.33203125" bestFit="1" customWidth="1"/>
    <col min="4" max="4" width="6.6640625" bestFit="1" customWidth="1"/>
    <col min="5" max="6" width="11.109375" customWidth="1"/>
    <col min="7" max="7" width="10.5546875" customWidth="1"/>
    <col min="8" max="8" width="12.21875" customWidth="1"/>
    <col min="10" max="10" width="48.33203125" bestFit="1" customWidth="1"/>
  </cols>
  <sheetData>
    <row r="1" spans="1:10" ht="21" x14ac:dyDescent="0.4">
      <c r="A1" s="123" t="s">
        <v>307</v>
      </c>
      <c r="C1" s="51"/>
    </row>
    <row r="2" spans="1:10" x14ac:dyDescent="0.3">
      <c r="C2" s="51"/>
    </row>
    <row r="3" spans="1:10" ht="24" x14ac:dyDescent="0.3">
      <c r="A3" s="124" t="s">
        <v>308</v>
      </c>
      <c r="B3" s="124" t="s">
        <v>309</v>
      </c>
      <c r="C3" s="125" t="s">
        <v>310</v>
      </c>
      <c r="D3" s="126" t="s">
        <v>311</v>
      </c>
      <c r="E3" s="126" t="s">
        <v>312</v>
      </c>
      <c r="F3" s="126" t="s">
        <v>313</v>
      </c>
      <c r="G3" s="126" t="s">
        <v>314</v>
      </c>
      <c r="H3" s="126" t="s">
        <v>315</v>
      </c>
    </row>
    <row r="4" spans="1:10" x14ac:dyDescent="0.3">
      <c r="A4" s="70" t="s">
        <v>316</v>
      </c>
      <c r="B4" s="70" t="s">
        <v>317</v>
      </c>
      <c r="C4" s="71" t="s">
        <v>318</v>
      </c>
      <c r="D4" s="70">
        <v>16</v>
      </c>
      <c r="E4" s="127" cm="1">
        <f t="array" ref="E4:E15">Hours_Worked*Hourly_Pay_Rate</f>
        <v>140</v>
      </c>
      <c r="F4" s="127" cm="1">
        <f t="array" ref="F4:F15">Pay*Nat_Ins_Rate</f>
        <v>13.72</v>
      </c>
      <c r="G4" s="128" cm="1">
        <f t="array" ref="G4:G15">Pay*Tax_Rate</f>
        <v>28</v>
      </c>
      <c r="H4" s="127">
        <f t="shared" ref="H4:H15" si="0">E4-SUM(F4:G4)</f>
        <v>98.28</v>
      </c>
    </row>
    <row r="5" spans="1:10" x14ac:dyDescent="0.3">
      <c r="A5" s="70" t="s">
        <v>319</v>
      </c>
      <c r="B5" s="70" t="s">
        <v>320</v>
      </c>
      <c r="C5" s="71" t="s">
        <v>321</v>
      </c>
      <c r="D5" s="70">
        <v>18</v>
      </c>
      <c r="E5" s="127">
        <v>157.5</v>
      </c>
      <c r="F5" s="127">
        <v>15.435</v>
      </c>
      <c r="G5" s="127">
        <v>31.5</v>
      </c>
      <c r="H5" s="127">
        <f t="shared" si="0"/>
        <v>110.565</v>
      </c>
    </row>
    <row r="6" spans="1:10" x14ac:dyDescent="0.3">
      <c r="A6" s="70" t="s">
        <v>322</v>
      </c>
      <c r="B6" s="70" t="s">
        <v>323</v>
      </c>
      <c r="C6" s="71" t="s">
        <v>321</v>
      </c>
      <c r="D6" s="70">
        <v>22</v>
      </c>
      <c r="E6" s="127">
        <v>192.5</v>
      </c>
      <c r="F6" s="127">
        <v>18.865000000000002</v>
      </c>
      <c r="G6" s="127">
        <v>38.5</v>
      </c>
      <c r="H6" s="127">
        <f t="shared" si="0"/>
        <v>135.13499999999999</v>
      </c>
      <c r="J6" s="135" t="s">
        <v>353</v>
      </c>
    </row>
    <row r="7" spans="1:10" x14ac:dyDescent="0.3">
      <c r="A7" s="70" t="s">
        <v>324</v>
      </c>
      <c r="B7" s="70" t="s">
        <v>325</v>
      </c>
      <c r="C7" s="71" t="s">
        <v>326</v>
      </c>
      <c r="D7" s="70">
        <v>19</v>
      </c>
      <c r="E7" s="127">
        <v>166.25</v>
      </c>
      <c r="F7" s="127">
        <v>16.2925</v>
      </c>
      <c r="G7" s="127">
        <v>33.25</v>
      </c>
      <c r="H7" s="127">
        <f t="shared" si="0"/>
        <v>116.7075</v>
      </c>
    </row>
    <row r="8" spans="1:10" x14ac:dyDescent="0.3">
      <c r="A8" s="70" t="s">
        <v>327</v>
      </c>
      <c r="B8" s="70" t="s">
        <v>328</v>
      </c>
      <c r="C8" s="71" t="s">
        <v>329</v>
      </c>
      <c r="D8" s="70">
        <v>18</v>
      </c>
      <c r="E8" s="127">
        <v>157.5</v>
      </c>
      <c r="F8" s="127">
        <v>15.435</v>
      </c>
      <c r="G8" s="127">
        <v>31.5</v>
      </c>
      <c r="H8" s="127">
        <f t="shared" si="0"/>
        <v>110.565</v>
      </c>
      <c r="J8" s="135" t="s">
        <v>354</v>
      </c>
    </row>
    <row r="9" spans="1:10" x14ac:dyDescent="0.3">
      <c r="A9" s="70" t="s">
        <v>330</v>
      </c>
      <c r="B9" s="70" t="s">
        <v>328</v>
      </c>
      <c r="C9" s="71" t="s">
        <v>331</v>
      </c>
      <c r="D9" s="70">
        <v>18</v>
      </c>
      <c r="E9" s="127">
        <v>157.5</v>
      </c>
      <c r="F9" s="127">
        <v>15.435</v>
      </c>
      <c r="G9" s="127">
        <v>31.5</v>
      </c>
      <c r="H9" s="127">
        <f t="shared" si="0"/>
        <v>110.565</v>
      </c>
    </row>
    <row r="10" spans="1:10" x14ac:dyDescent="0.3">
      <c r="A10" s="70" t="s">
        <v>332</v>
      </c>
      <c r="B10" s="70" t="s">
        <v>333</v>
      </c>
      <c r="C10" s="71" t="s">
        <v>334</v>
      </c>
      <c r="D10" s="70">
        <v>12</v>
      </c>
      <c r="E10" s="127">
        <v>105</v>
      </c>
      <c r="F10" s="127">
        <v>10.290000000000001</v>
      </c>
      <c r="G10" s="127">
        <v>21</v>
      </c>
      <c r="H10" s="127">
        <f t="shared" si="0"/>
        <v>73.710000000000008</v>
      </c>
      <c r="J10" s="135" t="s">
        <v>355</v>
      </c>
    </row>
    <row r="11" spans="1:10" x14ac:dyDescent="0.3">
      <c r="A11" s="70" t="s">
        <v>335</v>
      </c>
      <c r="B11" s="70" t="s">
        <v>336</v>
      </c>
      <c r="C11" s="71" t="s">
        <v>337</v>
      </c>
      <c r="D11" s="70">
        <v>16</v>
      </c>
      <c r="E11" s="127">
        <v>140</v>
      </c>
      <c r="F11" s="127">
        <v>13.72</v>
      </c>
      <c r="G11" s="127">
        <v>28</v>
      </c>
      <c r="H11" s="127">
        <f t="shared" si="0"/>
        <v>98.28</v>
      </c>
    </row>
    <row r="12" spans="1:10" x14ac:dyDescent="0.3">
      <c r="A12" s="70" t="s">
        <v>338</v>
      </c>
      <c r="B12" s="70" t="s">
        <v>339</v>
      </c>
      <c r="C12" s="71" t="s">
        <v>340</v>
      </c>
      <c r="D12" s="70">
        <v>16</v>
      </c>
      <c r="E12" s="127">
        <v>140</v>
      </c>
      <c r="F12" s="127">
        <v>13.72</v>
      </c>
      <c r="G12" s="127">
        <v>28</v>
      </c>
      <c r="H12" s="127">
        <f t="shared" si="0"/>
        <v>98.28</v>
      </c>
    </row>
    <row r="13" spans="1:10" x14ac:dyDescent="0.3">
      <c r="A13" s="70" t="s">
        <v>341</v>
      </c>
      <c r="B13" s="70" t="s">
        <v>342</v>
      </c>
      <c r="C13" s="71" t="s">
        <v>340</v>
      </c>
      <c r="D13" s="70">
        <v>18</v>
      </c>
      <c r="E13" s="127">
        <v>157.5</v>
      </c>
      <c r="F13" s="127">
        <v>15.435</v>
      </c>
      <c r="G13" s="127">
        <v>31.5</v>
      </c>
      <c r="H13" s="127">
        <f t="shared" si="0"/>
        <v>110.565</v>
      </c>
    </row>
    <row r="14" spans="1:10" x14ac:dyDescent="0.3">
      <c r="A14" s="70" t="s">
        <v>343</v>
      </c>
      <c r="B14" s="70" t="s">
        <v>344</v>
      </c>
      <c r="C14" s="71" t="s">
        <v>345</v>
      </c>
      <c r="D14" s="70">
        <v>22</v>
      </c>
      <c r="E14" s="127">
        <v>192.5</v>
      </c>
      <c r="F14" s="127">
        <v>18.865000000000002</v>
      </c>
      <c r="G14" s="127">
        <v>38.5</v>
      </c>
      <c r="H14" s="127">
        <f t="shared" si="0"/>
        <v>135.13499999999999</v>
      </c>
    </row>
    <row r="15" spans="1:10" x14ac:dyDescent="0.3">
      <c r="A15" s="70" t="s">
        <v>346</v>
      </c>
      <c r="B15" s="70" t="s">
        <v>347</v>
      </c>
      <c r="C15" s="71" t="s">
        <v>348</v>
      </c>
      <c r="D15" s="70">
        <v>12</v>
      </c>
      <c r="E15" s="127">
        <v>105</v>
      </c>
      <c r="F15" s="127">
        <v>10.290000000000001</v>
      </c>
      <c r="G15" s="127">
        <v>21</v>
      </c>
      <c r="H15" s="127">
        <f t="shared" si="0"/>
        <v>73.710000000000008</v>
      </c>
    </row>
    <row r="16" spans="1:10" x14ac:dyDescent="0.3">
      <c r="A16" s="129" t="s">
        <v>349</v>
      </c>
      <c r="B16" s="82"/>
      <c r="C16" s="130"/>
      <c r="D16" s="129">
        <f t="shared" ref="D16:H16" si="1">SUM(D4:D15)</f>
        <v>207</v>
      </c>
      <c r="E16" s="136">
        <f t="shared" si="1"/>
        <v>1811.25</v>
      </c>
      <c r="F16" s="136">
        <f t="shared" si="1"/>
        <v>177.50250000000003</v>
      </c>
      <c r="G16" s="136">
        <f t="shared" si="1"/>
        <v>362.25</v>
      </c>
      <c r="H16" s="136">
        <f t="shared" si="1"/>
        <v>1271.4975000000002</v>
      </c>
    </row>
    <row r="17" spans="1:3" x14ac:dyDescent="0.3">
      <c r="C17" s="51"/>
    </row>
    <row r="18" spans="1:3" x14ac:dyDescent="0.3">
      <c r="C18" s="51"/>
    </row>
    <row r="19" spans="1:3" x14ac:dyDescent="0.3">
      <c r="A19" t="s">
        <v>350</v>
      </c>
      <c r="B19" s="131">
        <v>8.75</v>
      </c>
      <c r="C19" s="51"/>
    </row>
    <row r="20" spans="1:3" x14ac:dyDescent="0.3">
      <c r="A20" t="s">
        <v>351</v>
      </c>
      <c r="B20" s="132">
        <v>9.8000000000000004E-2</v>
      </c>
      <c r="C20" s="133"/>
    </row>
    <row r="21" spans="1:3" x14ac:dyDescent="0.3">
      <c r="A21" t="s">
        <v>352</v>
      </c>
      <c r="B21" s="132">
        <v>0.2</v>
      </c>
      <c r="C21" s="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822D-6DD4-42AB-8250-9221C9480F46}">
  <dimension ref="A1:F15"/>
  <sheetViews>
    <sheetView workbookViewId="0">
      <selection sqref="A1:F15"/>
    </sheetView>
  </sheetViews>
  <sheetFormatPr defaultRowHeight="14.4" x14ac:dyDescent="0.3"/>
  <cols>
    <col min="1" max="1" width="11.33203125" customWidth="1"/>
    <col min="2" max="2" width="11.44140625" customWidth="1"/>
    <col min="3" max="3" width="20.33203125" customWidth="1"/>
    <col min="4" max="4" width="10.88671875" customWidth="1"/>
    <col min="5" max="5" width="16.33203125" customWidth="1"/>
  </cols>
  <sheetData>
    <row r="1" spans="1:6" ht="21" x14ac:dyDescent="0.4">
      <c r="A1" s="123" t="s">
        <v>356</v>
      </c>
    </row>
    <row r="3" spans="1:6" ht="28.8" x14ac:dyDescent="0.3">
      <c r="A3" s="137" t="s">
        <v>357</v>
      </c>
      <c r="B3" s="138" t="s">
        <v>358</v>
      </c>
      <c r="C3" s="139" t="s">
        <v>359</v>
      </c>
      <c r="E3" s="140" t="s">
        <v>360</v>
      </c>
      <c r="F3" s="141">
        <v>0.25</v>
      </c>
    </row>
    <row r="4" spans="1:6" x14ac:dyDescent="0.3">
      <c r="A4" s="142">
        <v>43115</v>
      </c>
      <c r="B4" s="127">
        <v>112.66</v>
      </c>
      <c r="C4" s="144" cm="1">
        <f t="array" ref="C4:C15">Amount*Vouchers_per__1</f>
        <v>28.164999999999999</v>
      </c>
    </row>
    <row r="5" spans="1:6" x14ac:dyDescent="0.3">
      <c r="A5" s="142">
        <v>43121</v>
      </c>
      <c r="B5" s="127">
        <v>17.54</v>
      </c>
      <c r="C5" s="144">
        <v>4.3849999999999998</v>
      </c>
      <c r="E5" s="143" t="s">
        <v>361</v>
      </c>
    </row>
    <row r="6" spans="1:6" x14ac:dyDescent="0.3">
      <c r="A6" s="142">
        <v>43163</v>
      </c>
      <c r="B6" s="127">
        <v>96.87</v>
      </c>
      <c r="C6" s="144">
        <v>24.217500000000001</v>
      </c>
    </row>
    <row r="7" spans="1:6" x14ac:dyDescent="0.3">
      <c r="A7" s="142">
        <v>43231</v>
      </c>
      <c r="B7" s="127">
        <v>32.78</v>
      </c>
      <c r="C7" s="144">
        <v>8.1950000000000003</v>
      </c>
    </row>
    <row r="8" spans="1:6" x14ac:dyDescent="0.3">
      <c r="A8" s="142">
        <v>43249</v>
      </c>
      <c r="B8" s="127">
        <v>56.38</v>
      </c>
      <c r="C8" s="144">
        <v>14.095000000000001</v>
      </c>
    </row>
    <row r="9" spans="1:6" x14ac:dyDescent="0.3">
      <c r="A9" s="142">
        <v>43271</v>
      </c>
      <c r="B9" s="127">
        <v>62.94</v>
      </c>
      <c r="C9" s="144">
        <v>15.734999999999999</v>
      </c>
    </row>
    <row r="10" spans="1:6" x14ac:dyDescent="0.3">
      <c r="A10" s="142">
        <v>43314</v>
      </c>
      <c r="B10" s="127">
        <v>74.89</v>
      </c>
      <c r="C10" s="144">
        <v>18.7225</v>
      </c>
    </row>
    <row r="11" spans="1:6" x14ac:dyDescent="0.3">
      <c r="A11" s="142">
        <v>43330</v>
      </c>
      <c r="B11" s="127">
        <v>13.45</v>
      </c>
      <c r="C11" s="144">
        <v>3.3624999999999998</v>
      </c>
    </row>
    <row r="12" spans="1:6" x14ac:dyDescent="0.3">
      <c r="A12" s="142">
        <v>43350</v>
      </c>
      <c r="B12" s="127">
        <v>73.63</v>
      </c>
      <c r="C12" s="144">
        <v>18.407499999999999</v>
      </c>
    </row>
    <row r="13" spans="1:6" x14ac:dyDescent="0.3">
      <c r="A13" s="142">
        <v>43376</v>
      </c>
      <c r="B13" s="127">
        <v>93.86</v>
      </c>
      <c r="C13" s="144">
        <v>23.465</v>
      </c>
    </row>
    <row r="14" spans="1:6" x14ac:dyDescent="0.3">
      <c r="A14" s="142">
        <v>43402</v>
      </c>
      <c r="B14" s="127">
        <v>52.11</v>
      </c>
      <c r="C14" s="144">
        <v>13.0275</v>
      </c>
    </row>
    <row r="15" spans="1:6" x14ac:dyDescent="0.3">
      <c r="A15" s="142">
        <v>43442</v>
      </c>
      <c r="B15" s="127">
        <v>143.66999999999999</v>
      </c>
      <c r="C15" s="144">
        <v>35.917499999999997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713-9D07-4312-8F72-424F4A5DB88F}">
  <dimension ref="A1:G19"/>
  <sheetViews>
    <sheetView workbookViewId="0">
      <selection activeCell="K14" sqref="K14"/>
    </sheetView>
  </sheetViews>
  <sheetFormatPr defaultRowHeight="14.4" x14ac:dyDescent="0.3"/>
  <cols>
    <col min="1" max="1" width="4.21875" customWidth="1"/>
    <col min="2" max="2" width="18.77734375" customWidth="1"/>
    <col min="3" max="6" width="11" customWidth="1"/>
    <col min="7" max="7" width="10.88671875" customWidth="1"/>
  </cols>
  <sheetData>
    <row r="1" spans="1:7" ht="15.6" x14ac:dyDescent="0.3">
      <c r="A1" s="152" t="s">
        <v>362</v>
      </c>
      <c r="B1" s="153"/>
      <c r="C1" s="153"/>
      <c r="D1" s="146"/>
      <c r="E1" s="146"/>
      <c r="F1" s="146"/>
    </row>
    <row r="2" spans="1:7" x14ac:dyDescent="0.3">
      <c r="A2" s="146"/>
      <c r="B2" s="146"/>
      <c r="C2" s="146"/>
      <c r="D2" s="146"/>
      <c r="E2" s="146"/>
      <c r="F2" s="146"/>
    </row>
    <row r="3" spans="1:7" x14ac:dyDescent="0.3">
      <c r="B3" s="151" t="s">
        <v>363</v>
      </c>
      <c r="C3" s="117" t="s">
        <v>364</v>
      </c>
      <c r="D3" s="117" t="s">
        <v>365</v>
      </c>
      <c r="E3" s="117" t="s">
        <v>366</v>
      </c>
      <c r="F3" s="117" t="s">
        <v>367</v>
      </c>
      <c r="G3" s="116" t="s">
        <v>368</v>
      </c>
    </row>
    <row r="4" spans="1:7" x14ac:dyDescent="0.3">
      <c r="B4" s="147" t="s">
        <v>369</v>
      </c>
      <c r="C4" s="148">
        <v>0</v>
      </c>
      <c r="D4" s="148">
        <v>0</v>
      </c>
      <c r="E4" s="148">
        <v>0</v>
      </c>
      <c r="F4" s="148">
        <v>1</v>
      </c>
      <c r="G4" s="150" cm="1">
        <f t="array" ref="G4:G11">(Inner_Gold*Inner_Gold_Points)+(Outer_Gold*Outer_Gold_Points)+(Inner_Red*Inner_Red_Points)+(Outer_Red*Outer_Red_Points)</f>
        <v>7</v>
      </c>
    </row>
    <row r="5" spans="1:7" x14ac:dyDescent="0.3">
      <c r="B5" s="147" t="s">
        <v>370</v>
      </c>
      <c r="C5" s="148">
        <v>3</v>
      </c>
      <c r="D5" s="148">
        <v>2</v>
      </c>
      <c r="E5" s="148">
        <v>2</v>
      </c>
      <c r="F5" s="148">
        <v>3</v>
      </c>
      <c r="G5" s="150">
        <v>85</v>
      </c>
    </row>
    <row r="6" spans="1:7" x14ac:dyDescent="0.3">
      <c r="B6" s="147" t="s">
        <v>371</v>
      </c>
      <c r="C6" s="148">
        <v>1</v>
      </c>
      <c r="D6" s="148">
        <v>6</v>
      </c>
      <c r="E6" s="148">
        <v>1</v>
      </c>
      <c r="F6" s="148">
        <v>2</v>
      </c>
      <c r="G6" s="150">
        <v>86</v>
      </c>
    </row>
    <row r="7" spans="1:7" x14ac:dyDescent="0.3">
      <c r="B7" s="147" t="s">
        <v>372</v>
      </c>
      <c r="C7" s="148">
        <v>1</v>
      </c>
      <c r="D7" s="148">
        <v>5</v>
      </c>
      <c r="E7" s="148">
        <v>3</v>
      </c>
      <c r="F7" s="148">
        <v>1</v>
      </c>
      <c r="G7" s="150">
        <v>86</v>
      </c>
    </row>
    <row r="8" spans="1:7" x14ac:dyDescent="0.3">
      <c r="B8" s="147" t="s">
        <v>373</v>
      </c>
      <c r="C8" s="148">
        <v>9</v>
      </c>
      <c r="D8" s="148">
        <v>1</v>
      </c>
      <c r="E8" s="148">
        <v>0</v>
      </c>
      <c r="F8" s="148">
        <v>0</v>
      </c>
      <c r="G8" s="150">
        <v>99</v>
      </c>
    </row>
    <row r="9" spans="1:7" x14ac:dyDescent="0.3">
      <c r="B9" s="147" t="s">
        <v>374</v>
      </c>
      <c r="C9" s="148">
        <v>1</v>
      </c>
      <c r="D9" s="148">
        <v>4</v>
      </c>
      <c r="E9" s="148">
        <v>5</v>
      </c>
      <c r="F9" s="148">
        <v>0</v>
      </c>
      <c r="G9" s="150">
        <v>86</v>
      </c>
    </row>
    <row r="10" spans="1:7" x14ac:dyDescent="0.3">
      <c r="B10" s="147" t="s">
        <v>375</v>
      </c>
      <c r="C10" s="148">
        <v>2</v>
      </c>
      <c r="D10" s="148">
        <v>1</v>
      </c>
      <c r="E10" s="148">
        <v>2</v>
      </c>
      <c r="F10" s="148">
        <v>5</v>
      </c>
      <c r="G10" s="150">
        <v>80</v>
      </c>
    </row>
    <row r="11" spans="1:7" x14ac:dyDescent="0.3">
      <c r="B11" s="147" t="s">
        <v>376</v>
      </c>
      <c r="C11" s="148">
        <v>4</v>
      </c>
      <c r="D11" s="148">
        <v>4</v>
      </c>
      <c r="E11" s="148">
        <v>1</v>
      </c>
      <c r="F11" s="148">
        <v>1</v>
      </c>
      <c r="G11" s="150">
        <v>91</v>
      </c>
    </row>
    <row r="12" spans="1:7" x14ac:dyDescent="0.3">
      <c r="A12" s="146"/>
      <c r="B12" s="146"/>
      <c r="C12" s="146"/>
      <c r="D12" s="146"/>
      <c r="E12" s="146"/>
      <c r="F12" s="146"/>
    </row>
    <row r="13" spans="1:7" x14ac:dyDescent="0.3">
      <c r="C13" s="146"/>
      <c r="D13" s="146"/>
      <c r="E13" s="146"/>
      <c r="F13" s="145" t="s">
        <v>377</v>
      </c>
      <c r="G13" s="145"/>
    </row>
    <row r="14" spans="1:7" x14ac:dyDescent="0.3">
      <c r="C14" s="146"/>
      <c r="D14" s="146"/>
      <c r="E14" s="146"/>
      <c r="F14" s="147" t="s">
        <v>364</v>
      </c>
      <c r="G14" s="149">
        <v>10</v>
      </c>
    </row>
    <row r="15" spans="1:7" x14ac:dyDescent="0.3">
      <c r="C15" s="146"/>
      <c r="D15" s="146"/>
      <c r="E15" s="146"/>
      <c r="F15" s="147" t="s">
        <v>365</v>
      </c>
      <c r="G15" s="149">
        <v>9</v>
      </c>
    </row>
    <row r="16" spans="1:7" x14ac:dyDescent="0.3">
      <c r="C16" s="146"/>
      <c r="D16" s="146"/>
      <c r="E16" s="146"/>
      <c r="F16" s="147" t="s">
        <v>366</v>
      </c>
      <c r="G16" s="149">
        <v>8</v>
      </c>
    </row>
    <row r="17" spans="3:7" x14ac:dyDescent="0.3">
      <c r="F17" s="147" t="s">
        <v>367</v>
      </c>
      <c r="G17" s="149">
        <v>7</v>
      </c>
    </row>
    <row r="19" spans="3:7" ht="15" x14ac:dyDescent="0.35">
      <c r="C19" s="100" t="s">
        <v>378</v>
      </c>
    </row>
  </sheetData>
  <mergeCells count="1">
    <mergeCell ref="F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50A4-321D-44AE-8F5B-1DE424A1C305}">
  <dimension ref="A1:G13"/>
  <sheetViews>
    <sheetView workbookViewId="0">
      <selection activeCell="E4" sqref="E4"/>
    </sheetView>
  </sheetViews>
  <sheetFormatPr defaultRowHeight="14.4" x14ac:dyDescent="0.3"/>
  <cols>
    <col min="1" max="1" width="20.6640625" customWidth="1"/>
    <col min="2" max="4" width="15.21875" customWidth="1"/>
    <col min="5" max="5" width="16.44140625" bestFit="1" customWidth="1"/>
  </cols>
  <sheetData>
    <row r="1" spans="1:7" ht="18" x14ac:dyDescent="0.35">
      <c r="A1" s="161" t="s">
        <v>379</v>
      </c>
      <c r="B1" s="157"/>
      <c r="C1" s="157"/>
      <c r="D1" s="157"/>
      <c r="E1" s="157"/>
    </row>
    <row r="2" spans="1:7" ht="15.6" x14ac:dyDescent="0.3">
      <c r="A2" s="156"/>
      <c r="B2" s="154"/>
      <c r="C2" s="154"/>
      <c r="D2" s="154"/>
      <c r="E2" s="154"/>
    </row>
    <row r="3" spans="1:7" ht="28.8" x14ac:dyDescent="0.3">
      <c r="A3" s="162" t="s">
        <v>380</v>
      </c>
      <c r="B3" s="158" t="s">
        <v>381</v>
      </c>
      <c r="C3" s="158" t="s">
        <v>382</v>
      </c>
      <c r="D3" s="158" t="s">
        <v>383</v>
      </c>
      <c r="E3" s="166" t="s">
        <v>109</v>
      </c>
    </row>
    <row r="4" spans="1:7" x14ac:dyDescent="0.3">
      <c r="A4" s="163" t="s">
        <v>384</v>
      </c>
      <c r="B4" s="165">
        <v>95</v>
      </c>
      <c r="C4" s="165">
        <v>15</v>
      </c>
      <c r="D4" s="165">
        <v>45</v>
      </c>
      <c r="E4" s="167" cm="1">
        <f t="array" ref="E4:E9">(Adult_Ticket_Price*Adult_Ticket_Sales)+(Child_Ticket_Price+Child_Ticket_Sales)+(Concession_Ticket_Price*Concession_Ticket_Sales)</f>
        <v>1118.75</v>
      </c>
    </row>
    <row r="5" spans="1:7" x14ac:dyDescent="0.3">
      <c r="A5" s="163" t="s">
        <v>385</v>
      </c>
      <c r="B5" s="165">
        <v>115</v>
      </c>
      <c r="C5" s="165">
        <v>2</v>
      </c>
      <c r="D5" s="165">
        <v>8</v>
      </c>
      <c r="E5" s="167">
        <v>1175.25</v>
      </c>
      <c r="G5" s="134" t="s">
        <v>393</v>
      </c>
    </row>
    <row r="6" spans="1:7" x14ac:dyDescent="0.3">
      <c r="A6" s="164" t="s">
        <v>386</v>
      </c>
      <c r="B6" s="159">
        <v>235</v>
      </c>
      <c r="C6" s="159">
        <v>55</v>
      </c>
      <c r="D6" s="159">
        <v>162</v>
      </c>
      <c r="E6" s="168">
        <v>2961.25</v>
      </c>
    </row>
    <row r="7" spans="1:7" x14ac:dyDescent="0.3">
      <c r="A7" s="164" t="s">
        <v>387</v>
      </c>
      <c r="B7" s="159">
        <v>100</v>
      </c>
      <c r="C7" s="159">
        <v>4</v>
      </c>
      <c r="D7" s="159">
        <v>35</v>
      </c>
      <c r="E7" s="168">
        <v>1122.5</v>
      </c>
    </row>
    <row r="8" spans="1:7" x14ac:dyDescent="0.3">
      <c r="A8" s="164" t="s">
        <v>388</v>
      </c>
      <c r="B8" s="159">
        <v>61</v>
      </c>
      <c r="C8" s="159">
        <v>2</v>
      </c>
      <c r="D8" s="159">
        <v>38</v>
      </c>
      <c r="E8" s="168">
        <v>742.94999999999993</v>
      </c>
    </row>
    <row r="9" spans="1:7" x14ac:dyDescent="0.3">
      <c r="A9" s="155" t="s">
        <v>389</v>
      </c>
      <c r="B9" s="159">
        <f t="shared" ref="B9:E9" si="0">SUM(B4:B8)</f>
        <v>606</v>
      </c>
      <c r="C9" s="159">
        <f t="shared" si="0"/>
        <v>78</v>
      </c>
      <c r="D9" s="159">
        <f t="shared" si="0"/>
        <v>288</v>
      </c>
      <c r="E9" s="168">
        <v>7116.7</v>
      </c>
    </row>
    <row r="10" spans="1:7" x14ac:dyDescent="0.3">
      <c r="A10" s="155"/>
      <c r="B10" s="157"/>
      <c r="C10" s="157"/>
      <c r="D10" s="157"/>
      <c r="E10" s="157"/>
    </row>
    <row r="11" spans="1:7" x14ac:dyDescent="0.3">
      <c r="A11" s="155" t="s">
        <v>390</v>
      </c>
      <c r="B11" s="160">
        <v>9.9499999999999993</v>
      </c>
      <c r="C11" s="157"/>
      <c r="D11" s="157"/>
      <c r="E11" s="157"/>
    </row>
    <row r="12" spans="1:7" x14ac:dyDescent="0.3">
      <c r="A12" s="155" t="s">
        <v>391</v>
      </c>
      <c r="B12" s="160">
        <v>1</v>
      </c>
      <c r="C12" s="157"/>
      <c r="D12" s="157"/>
      <c r="E12" s="157"/>
    </row>
    <row r="13" spans="1:7" x14ac:dyDescent="0.3">
      <c r="A13" s="155" t="s">
        <v>392</v>
      </c>
      <c r="B13" s="160">
        <v>3.5</v>
      </c>
      <c r="C13" s="155"/>
      <c r="D13" s="155"/>
      <c r="E13" s="155"/>
    </row>
  </sheetData>
  <mergeCells count="1"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E610-0266-436D-8CE0-60125FB9A5AE}">
  <dimension ref="B2:M23"/>
  <sheetViews>
    <sheetView tabSelected="1" workbookViewId="0">
      <selection activeCell="N27" sqref="N27"/>
    </sheetView>
  </sheetViews>
  <sheetFormatPr defaultRowHeight="14.4" x14ac:dyDescent="0.3"/>
  <sheetData>
    <row r="2" spans="2:13" x14ac:dyDescent="0.3">
      <c r="B2" s="169" t="s">
        <v>394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1"/>
    </row>
    <row r="3" spans="2:13" x14ac:dyDescent="0.3">
      <c r="B3" s="172"/>
      <c r="C3" s="173"/>
      <c r="D3" s="174" t="s">
        <v>395</v>
      </c>
      <c r="E3" s="174"/>
      <c r="F3" s="174"/>
      <c r="G3" s="174"/>
      <c r="H3" s="174"/>
      <c r="I3" s="174"/>
      <c r="J3" s="174"/>
      <c r="K3" s="174"/>
      <c r="L3" s="174"/>
      <c r="M3" s="175"/>
    </row>
    <row r="4" spans="2:13" x14ac:dyDescent="0.3">
      <c r="B4" s="176"/>
      <c r="C4" s="177" t="s">
        <v>83</v>
      </c>
      <c r="D4" s="178">
        <v>0.02</v>
      </c>
      <c r="E4" s="178">
        <v>0.04</v>
      </c>
      <c r="F4" s="178">
        <v>0.06</v>
      </c>
      <c r="G4" s="178">
        <v>0.08</v>
      </c>
      <c r="H4" s="178">
        <v>0.1</v>
      </c>
      <c r="I4" s="178">
        <v>0.12</v>
      </c>
      <c r="J4" s="178">
        <v>0.14000000000000001</v>
      </c>
      <c r="K4" s="178">
        <v>0.16</v>
      </c>
      <c r="L4" s="178">
        <v>0.18</v>
      </c>
      <c r="M4" s="179">
        <v>0.2</v>
      </c>
    </row>
    <row r="5" spans="2:13" x14ac:dyDescent="0.3">
      <c r="B5" s="180" t="s">
        <v>396</v>
      </c>
      <c r="C5" s="181">
        <v>1400</v>
      </c>
      <c r="D5" s="182" cm="1">
        <f t="array" ref="D5:M11">'Sales reps'!Sales*Commission_Rates</f>
        <v>28</v>
      </c>
      <c r="E5" s="182">
        <v>56</v>
      </c>
      <c r="F5" s="182">
        <v>84</v>
      </c>
      <c r="G5" s="182">
        <v>112</v>
      </c>
      <c r="H5" s="182">
        <v>140</v>
      </c>
      <c r="I5" s="182">
        <v>168</v>
      </c>
      <c r="J5" s="182">
        <v>196.00000000000003</v>
      </c>
      <c r="K5" s="182">
        <v>224</v>
      </c>
      <c r="L5" s="182">
        <v>252</v>
      </c>
      <c r="M5" s="182">
        <v>280</v>
      </c>
    </row>
    <row r="6" spans="2:13" x14ac:dyDescent="0.3">
      <c r="B6" s="180" t="s">
        <v>397</v>
      </c>
      <c r="C6" s="181">
        <v>1950</v>
      </c>
      <c r="D6" s="182">
        <v>39</v>
      </c>
      <c r="E6" s="182">
        <v>78</v>
      </c>
      <c r="F6" s="182">
        <v>117</v>
      </c>
      <c r="G6" s="182">
        <v>156</v>
      </c>
      <c r="H6" s="182">
        <v>195</v>
      </c>
      <c r="I6" s="182">
        <v>234</v>
      </c>
      <c r="J6" s="182">
        <v>273</v>
      </c>
      <c r="K6" s="182">
        <v>312</v>
      </c>
      <c r="L6" s="182">
        <v>351</v>
      </c>
      <c r="M6" s="182">
        <v>390</v>
      </c>
    </row>
    <row r="7" spans="2:13" x14ac:dyDescent="0.3">
      <c r="B7" s="180" t="s">
        <v>398</v>
      </c>
      <c r="C7" s="181">
        <v>500</v>
      </c>
      <c r="D7" s="182">
        <v>10</v>
      </c>
      <c r="E7" s="182">
        <v>20</v>
      </c>
      <c r="F7" s="182">
        <v>30</v>
      </c>
      <c r="G7" s="182">
        <v>40</v>
      </c>
      <c r="H7" s="182">
        <v>50</v>
      </c>
      <c r="I7" s="182">
        <v>60</v>
      </c>
      <c r="J7" s="182">
        <v>70</v>
      </c>
      <c r="K7" s="182">
        <v>80</v>
      </c>
      <c r="L7" s="182">
        <v>90</v>
      </c>
      <c r="M7" s="182">
        <v>100</v>
      </c>
    </row>
    <row r="8" spans="2:13" x14ac:dyDescent="0.3">
      <c r="B8" s="180" t="s">
        <v>399</v>
      </c>
      <c r="C8" s="181">
        <v>720</v>
      </c>
      <c r="D8" s="182">
        <v>14.4</v>
      </c>
      <c r="E8" s="182">
        <v>28.8</v>
      </c>
      <c r="F8" s="182">
        <v>43.199999999999996</v>
      </c>
      <c r="G8" s="182">
        <v>57.6</v>
      </c>
      <c r="H8" s="182">
        <v>72</v>
      </c>
      <c r="I8" s="182">
        <v>86.399999999999991</v>
      </c>
      <c r="J8" s="182">
        <v>100.80000000000001</v>
      </c>
      <c r="K8" s="182">
        <v>115.2</v>
      </c>
      <c r="L8" s="182">
        <v>129.6</v>
      </c>
      <c r="M8" s="182">
        <v>144</v>
      </c>
    </row>
    <row r="9" spans="2:13" x14ac:dyDescent="0.3">
      <c r="B9" s="180" t="s">
        <v>400</v>
      </c>
      <c r="C9" s="181">
        <v>50</v>
      </c>
      <c r="D9" s="182">
        <v>1</v>
      </c>
      <c r="E9" s="182">
        <v>2</v>
      </c>
      <c r="F9" s="182">
        <v>3</v>
      </c>
      <c r="G9" s="182">
        <v>4</v>
      </c>
      <c r="H9" s="182">
        <v>5</v>
      </c>
      <c r="I9" s="182">
        <v>6</v>
      </c>
      <c r="J9" s="182">
        <v>7.0000000000000009</v>
      </c>
      <c r="K9" s="182">
        <v>8</v>
      </c>
      <c r="L9" s="182">
        <v>9</v>
      </c>
      <c r="M9" s="182">
        <v>10</v>
      </c>
    </row>
    <row r="10" spans="2:13" x14ac:dyDescent="0.3">
      <c r="B10" s="180" t="s">
        <v>401</v>
      </c>
      <c r="C10" s="181">
        <v>1200</v>
      </c>
      <c r="D10" s="182">
        <v>24</v>
      </c>
      <c r="E10" s="182">
        <v>48</v>
      </c>
      <c r="F10" s="182">
        <v>72</v>
      </c>
      <c r="G10" s="182">
        <v>96</v>
      </c>
      <c r="H10" s="182">
        <v>120</v>
      </c>
      <c r="I10" s="182">
        <v>144</v>
      </c>
      <c r="J10" s="182">
        <v>168.00000000000003</v>
      </c>
      <c r="K10" s="182">
        <v>192</v>
      </c>
      <c r="L10" s="182">
        <v>216</v>
      </c>
      <c r="M10" s="182">
        <v>240</v>
      </c>
    </row>
    <row r="11" spans="2:13" x14ac:dyDescent="0.3">
      <c r="B11" s="183" t="s">
        <v>402</v>
      </c>
      <c r="C11" s="184">
        <v>880</v>
      </c>
      <c r="D11" s="182">
        <v>17.600000000000001</v>
      </c>
      <c r="E11" s="182">
        <v>35.200000000000003</v>
      </c>
      <c r="F11" s="182">
        <v>52.8</v>
      </c>
      <c r="G11" s="182">
        <v>70.400000000000006</v>
      </c>
      <c r="H11" s="182">
        <v>88</v>
      </c>
      <c r="I11" s="182">
        <v>105.6</v>
      </c>
      <c r="J11" s="182">
        <v>123.20000000000002</v>
      </c>
      <c r="K11" s="182">
        <v>140.80000000000001</v>
      </c>
      <c r="L11" s="182">
        <v>158.4</v>
      </c>
      <c r="M11" s="182">
        <v>176</v>
      </c>
    </row>
    <row r="12" spans="2:13" x14ac:dyDescent="0.3"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</row>
    <row r="13" spans="2:13" x14ac:dyDescent="0.3"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</row>
    <row r="14" spans="2:13" x14ac:dyDescent="0.3">
      <c r="B14" s="169" t="s">
        <v>403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1"/>
    </row>
    <row r="15" spans="2:13" x14ac:dyDescent="0.3">
      <c r="B15" s="172"/>
      <c r="C15" s="173"/>
      <c r="D15" s="174" t="s">
        <v>395</v>
      </c>
      <c r="E15" s="174"/>
      <c r="F15" s="174"/>
      <c r="G15" s="174"/>
      <c r="H15" s="174"/>
      <c r="I15" s="174"/>
      <c r="J15" s="174"/>
      <c r="K15" s="174"/>
      <c r="L15" s="174"/>
      <c r="M15" s="175"/>
    </row>
    <row r="16" spans="2:13" x14ac:dyDescent="0.3">
      <c r="B16" s="176"/>
      <c r="C16" s="177" t="s">
        <v>83</v>
      </c>
      <c r="D16" s="178">
        <v>0.02</v>
      </c>
      <c r="E16" s="178">
        <v>0.04</v>
      </c>
      <c r="F16" s="178">
        <v>0.06</v>
      </c>
      <c r="G16" s="178">
        <v>0.08</v>
      </c>
      <c r="H16" s="178">
        <v>0.1</v>
      </c>
      <c r="I16" s="178">
        <v>0.12</v>
      </c>
      <c r="J16" s="178">
        <v>0.14000000000000001</v>
      </c>
      <c r="K16" s="178">
        <v>0.16</v>
      </c>
      <c r="L16" s="178">
        <v>0.18</v>
      </c>
      <c r="M16" s="179">
        <v>0.2</v>
      </c>
    </row>
    <row r="17" spans="2:13" x14ac:dyDescent="0.3">
      <c r="B17" s="180" t="s">
        <v>396</v>
      </c>
      <c r="C17" s="181">
        <v>1400</v>
      </c>
      <c r="D17" s="182" cm="1">
        <f t="array" ref="D17:D23">'Sales reps'!Sales*D$16</f>
        <v>28</v>
      </c>
      <c r="E17" s="182" cm="1">
        <f t="array" ref="E17:E23">'Sales reps'!Sales*E$16</f>
        <v>56</v>
      </c>
      <c r="F17" s="182" cm="1">
        <f t="array" ref="F17:F23">'Sales reps'!Sales*F$16</f>
        <v>84</v>
      </c>
      <c r="G17" s="182" cm="1">
        <f t="array" ref="G17:G23">'Sales reps'!Sales*G$16</f>
        <v>112</v>
      </c>
      <c r="H17" s="182" cm="1">
        <f t="array" ref="H17:H23">'Sales reps'!Sales*H$16</f>
        <v>140</v>
      </c>
      <c r="I17" s="182" cm="1">
        <f t="array" ref="I17:I23">'Sales reps'!Sales*I$16</f>
        <v>168</v>
      </c>
      <c r="J17" s="182" cm="1">
        <f t="array" ref="J17:J23">'Sales reps'!Sales*J$16</f>
        <v>196.00000000000003</v>
      </c>
      <c r="K17" s="182" cm="1">
        <f t="array" ref="K17:K23">'Sales reps'!Sales*K$16</f>
        <v>224</v>
      </c>
      <c r="L17" s="182" cm="1">
        <f t="array" ref="L17:L23">'Sales reps'!Sales*L$16</f>
        <v>252</v>
      </c>
      <c r="M17" s="182" cm="1">
        <f t="array" ref="M17:M23">'Sales reps'!Sales*M$16</f>
        <v>280</v>
      </c>
    </row>
    <row r="18" spans="2:13" x14ac:dyDescent="0.3">
      <c r="B18" s="180" t="s">
        <v>397</v>
      </c>
      <c r="C18" s="181">
        <v>1950</v>
      </c>
      <c r="D18" s="182">
        <v>39</v>
      </c>
      <c r="E18" s="182">
        <v>78</v>
      </c>
      <c r="F18" s="182">
        <v>117</v>
      </c>
      <c r="G18" s="182">
        <v>156</v>
      </c>
      <c r="H18" s="182">
        <v>195</v>
      </c>
      <c r="I18" s="182">
        <v>234</v>
      </c>
      <c r="J18" s="182">
        <v>273</v>
      </c>
      <c r="K18" s="182">
        <v>312</v>
      </c>
      <c r="L18" s="182">
        <v>351</v>
      </c>
      <c r="M18" s="182">
        <v>390</v>
      </c>
    </row>
    <row r="19" spans="2:13" x14ac:dyDescent="0.3">
      <c r="B19" s="180" t="s">
        <v>398</v>
      </c>
      <c r="C19" s="181">
        <v>500</v>
      </c>
      <c r="D19" s="182">
        <v>10</v>
      </c>
      <c r="E19" s="182">
        <v>20</v>
      </c>
      <c r="F19" s="182">
        <v>30</v>
      </c>
      <c r="G19" s="182">
        <v>40</v>
      </c>
      <c r="H19" s="182">
        <v>50</v>
      </c>
      <c r="I19" s="182">
        <v>60</v>
      </c>
      <c r="J19" s="182">
        <v>70</v>
      </c>
      <c r="K19" s="182">
        <v>80</v>
      </c>
      <c r="L19" s="182">
        <v>90</v>
      </c>
      <c r="M19" s="182">
        <v>100</v>
      </c>
    </row>
    <row r="20" spans="2:13" x14ac:dyDescent="0.3">
      <c r="B20" s="180" t="s">
        <v>399</v>
      </c>
      <c r="C20" s="181">
        <v>720</v>
      </c>
      <c r="D20" s="182">
        <v>14.4</v>
      </c>
      <c r="E20" s="182">
        <v>28.8</v>
      </c>
      <c r="F20" s="182">
        <v>43.199999999999996</v>
      </c>
      <c r="G20" s="182">
        <v>57.6</v>
      </c>
      <c r="H20" s="182">
        <v>72</v>
      </c>
      <c r="I20" s="182">
        <v>86.399999999999991</v>
      </c>
      <c r="J20" s="182">
        <v>100.80000000000001</v>
      </c>
      <c r="K20" s="182">
        <v>115.2</v>
      </c>
      <c r="L20" s="182">
        <v>129.6</v>
      </c>
      <c r="M20" s="182">
        <v>144</v>
      </c>
    </row>
    <row r="21" spans="2:13" x14ac:dyDescent="0.3">
      <c r="B21" s="180" t="s">
        <v>400</v>
      </c>
      <c r="C21" s="181">
        <v>50</v>
      </c>
      <c r="D21" s="182">
        <v>1</v>
      </c>
      <c r="E21" s="182">
        <v>2</v>
      </c>
      <c r="F21" s="182">
        <v>3</v>
      </c>
      <c r="G21" s="182">
        <v>4</v>
      </c>
      <c r="H21" s="182">
        <v>5</v>
      </c>
      <c r="I21" s="182">
        <v>6</v>
      </c>
      <c r="J21" s="182">
        <v>7.0000000000000009</v>
      </c>
      <c r="K21" s="182">
        <v>8</v>
      </c>
      <c r="L21" s="182">
        <v>9</v>
      </c>
      <c r="M21" s="182">
        <v>10</v>
      </c>
    </row>
    <row r="22" spans="2:13" x14ac:dyDescent="0.3">
      <c r="B22" s="180" t="s">
        <v>401</v>
      </c>
      <c r="C22" s="181">
        <v>1200</v>
      </c>
      <c r="D22" s="182">
        <v>24</v>
      </c>
      <c r="E22" s="182">
        <v>48</v>
      </c>
      <c r="F22" s="182">
        <v>72</v>
      </c>
      <c r="G22" s="182">
        <v>96</v>
      </c>
      <c r="H22" s="182">
        <v>120</v>
      </c>
      <c r="I22" s="182">
        <v>144</v>
      </c>
      <c r="J22" s="182">
        <v>168.00000000000003</v>
      </c>
      <c r="K22" s="182">
        <v>192</v>
      </c>
      <c r="L22" s="182">
        <v>216</v>
      </c>
      <c r="M22" s="182">
        <v>240</v>
      </c>
    </row>
    <row r="23" spans="2:13" x14ac:dyDescent="0.3">
      <c r="B23" s="183" t="s">
        <v>402</v>
      </c>
      <c r="C23" s="184">
        <v>880</v>
      </c>
      <c r="D23" s="182">
        <v>17.600000000000001</v>
      </c>
      <c r="E23" s="182">
        <v>35.200000000000003</v>
      </c>
      <c r="F23" s="182">
        <v>52.8</v>
      </c>
      <c r="G23" s="182">
        <v>70.400000000000006</v>
      </c>
      <c r="H23" s="182">
        <v>88</v>
      </c>
      <c r="I23" s="182">
        <v>105.6</v>
      </c>
      <c r="J23" s="182">
        <v>123.20000000000002</v>
      </c>
      <c r="K23" s="182">
        <v>140.80000000000001</v>
      </c>
      <c r="L23" s="182">
        <v>158.4</v>
      </c>
      <c r="M23" s="18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14</vt:i4>
      </vt:variant>
      <vt:variant>
        <vt:lpstr>Intervalos com Nome</vt:lpstr>
      </vt:variant>
      <vt:variant>
        <vt:i4>78</vt:i4>
      </vt:variant>
    </vt:vector>
  </HeadingPairs>
  <TitlesOfParts>
    <vt:vector size="92" baseType="lpstr">
      <vt:lpstr>Bob the Builder</vt:lpstr>
      <vt:lpstr>Movies</vt:lpstr>
      <vt:lpstr>Poohsticks</vt:lpstr>
      <vt:lpstr>Richest people</vt:lpstr>
      <vt:lpstr>Forecast</vt:lpstr>
      <vt:lpstr>Tallest Buildings</vt:lpstr>
      <vt:lpstr>Forecasting</vt:lpstr>
      <vt:lpstr>Holiday Costing</vt:lpstr>
      <vt:lpstr>Muffin Man</vt:lpstr>
      <vt:lpstr>Pesko Pay</vt:lpstr>
      <vt:lpstr>Pesko Vouch</vt:lpstr>
      <vt:lpstr>Archery Shoot Out</vt:lpstr>
      <vt:lpstr>Concert Tickets</vt:lpstr>
      <vt:lpstr>Sales reps</vt:lpstr>
      <vt:lpstr>Adult_Ticket_Price</vt:lpstr>
      <vt:lpstr>Adult_Ticket_Sales</vt:lpstr>
      <vt:lpstr>Age</vt:lpstr>
      <vt:lpstr>Amount</vt:lpstr>
      <vt:lpstr>Average_Score</vt:lpstr>
      <vt:lpstr>Average_ticket_price</vt:lpstr>
      <vt:lpstr>Basic_Profits</vt:lpstr>
      <vt:lpstr>Budget</vt:lpstr>
      <vt:lpstr>Building</vt:lpstr>
      <vt:lpstr>Building_type</vt:lpstr>
      <vt:lpstr>Child_Ticket_Price</vt:lpstr>
      <vt:lpstr>Child_Ticket_Sales</vt:lpstr>
      <vt:lpstr>City</vt:lpstr>
      <vt:lpstr>Commission_Rates</vt:lpstr>
      <vt:lpstr>Concession_Ticket_Price</vt:lpstr>
      <vt:lpstr>Concession_Ticket_Sales</vt:lpstr>
      <vt:lpstr>Cost</vt:lpstr>
      <vt:lpstr>Cost_per_Metre</vt:lpstr>
      <vt:lpstr>Cost_per_Storey</vt:lpstr>
      <vt:lpstr>Costs</vt:lpstr>
      <vt:lpstr>Country</vt:lpstr>
      <vt:lpstr>Decade</vt:lpstr>
      <vt:lpstr>Direct_Costs</vt:lpstr>
      <vt:lpstr>Donation_per_point</vt:lpstr>
      <vt:lpstr>Euros</vt:lpstr>
      <vt:lpstr>Exchange_Rate</vt:lpstr>
      <vt:lpstr>Forecasting!Growth</vt:lpstr>
      <vt:lpstr>Growth</vt:lpstr>
      <vt:lpstr>Hourly_Pay_Rate</vt:lpstr>
      <vt:lpstr>Hours</vt:lpstr>
      <vt:lpstr>Hours_Worked</vt:lpstr>
      <vt:lpstr>Indirect_Costs</vt:lpstr>
      <vt:lpstr>Ingredients</vt:lpstr>
      <vt:lpstr>Inner_Gold</vt:lpstr>
      <vt:lpstr>Inner_Gold_Points</vt:lpstr>
      <vt:lpstr>Inner_Red</vt:lpstr>
      <vt:lpstr>Inner_Red_Points</vt:lpstr>
      <vt:lpstr>Matches_Played</vt:lpstr>
      <vt:lpstr>Metres</vt:lpstr>
      <vt:lpstr>Nat_Ins</vt:lpstr>
      <vt:lpstr>Nat_Ins_Rate</vt:lpstr>
      <vt:lpstr>Outer_Gold</vt:lpstr>
      <vt:lpstr>Outer_Gold_Points</vt:lpstr>
      <vt:lpstr>Outer_Red</vt:lpstr>
      <vt:lpstr>Outer_Red_Points</vt:lpstr>
      <vt:lpstr>Overheads</vt:lpstr>
      <vt:lpstr>Pay</vt:lpstr>
      <vt:lpstr>Poohsticks_score</vt:lpstr>
      <vt:lpstr>Profit</vt:lpstr>
      <vt:lpstr>Project_Basic_Profits</vt:lpstr>
      <vt:lpstr>Project_Direct_Costs</vt:lpstr>
      <vt:lpstr>Project_Indirect_Costs</vt:lpstr>
      <vt:lpstr>Project_Sales</vt:lpstr>
      <vt:lpstr>Forecast!Projected_Direct_Costs</vt:lpstr>
      <vt:lpstr>Projected_Direct_Costs_Forecasting</vt:lpstr>
      <vt:lpstr>Projected_Indirect_Costs_Forecasting</vt:lpstr>
      <vt:lpstr>Forecast!Projected_Sales</vt:lpstr>
      <vt:lpstr>Projected_Sales_Forecasting</vt:lpstr>
      <vt:lpstr>Rate</vt:lpstr>
      <vt:lpstr>'Concert Tickets'!Revenue</vt:lpstr>
      <vt:lpstr>Revenue</vt:lpstr>
      <vt:lpstr>Sale_Price</vt:lpstr>
      <vt:lpstr>Forecasting!Sales</vt:lpstr>
      <vt:lpstr>'Sales reps'!Sales</vt:lpstr>
      <vt:lpstr>Sales</vt:lpstr>
      <vt:lpstr>Storeys</vt:lpstr>
      <vt:lpstr>Tax_Rate</vt:lpstr>
      <vt:lpstr>This_Year</vt:lpstr>
      <vt:lpstr>Tickets_Sold</vt:lpstr>
      <vt:lpstr>Forecasting!Utilities_inc</vt:lpstr>
      <vt:lpstr>Utilities_inc</vt:lpstr>
      <vt:lpstr>Vouchers_per__1</vt:lpstr>
      <vt:lpstr>Forecasting!Wages_inc</vt:lpstr>
      <vt:lpstr>Wages_inc</vt:lpstr>
      <vt:lpstr>Wealth___bil</vt:lpstr>
      <vt:lpstr>Wealth_per_year</vt:lpstr>
      <vt:lpstr>World_Gross</vt:lpstr>
      <vt:lpstr>Year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Guilherme Sá</cp:lastModifiedBy>
  <dcterms:created xsi:type="dcterms:W3CDTF">2007-08-15T09:52:15Z</dcterms:created>
  <dcterms:modified xsi:type="dcterms:W3CDTF">2022-09-26T10:06:30Z</dcterms:modified>
</cp:coreProperties>
</file>