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33480" windowHeight="20460"/>
  </bookViews>
  <sheets>
    <sheet name="Donnés LAW Prototyp" sheetId="13" r:id="rId1"/>
    <sheet name="Structure Donnés LAW" sheetId="12" r:id="rId2"/>
    <sheet name="Daten LAW Alle" sheetId="10" r:id="rId3"/>
    <sheet name="Strukturierung Daten Montana" sheetId="2" r:id="rId4"/>
    <sheet name="Montana Grafiken" sheetId="6" r:id="rId5"/>
    <sheet name="Zahlen MontanAqua" sheetId="5" r:id="rId6"/>
    <sheet name="Defizite BSchädler" sheetId="1" r:id="rId7"/>
    <sheet name="W-fürEnergie" sheetId="9" r:id="rId8"/>
    <sheet name="Wasserspeicher Region" sheetId="3" r:id="rId9"/>
    <sheet name="Abflüsse-Diverse" sheetId="4" r:id="rId10"/>
    <sheet name="Tseuzier-Lienne" sheetId="8" r:id="rId11"/>
    <sheet name="Wasserverbrauch pro EW" sheetId="7" r:id="rId12"/>
    <sheet name="Einzugsgebiet" sheetId="11" r:id="rId13"/>
  </sheets>
  <definedNames>
    <definedName name="_xlnm.Print_Titles" localSheetId="3">'Strukturierung Daten Montana'!$A:$B,'Strukturierung Daten Montana'!$1:$2</definedName>
    <definedName name="_xlnm.Print_Area" localSheetId="3">'Strukturierung Daten Montana'!$A$1:$Q$102</definedName>
    <definedName name="_xlnm.Print_Area" localSheetId="7">'W-fürEnergie'!$A$1:$I$17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" i="13" l="1"/>
  <c r="D18" i="13"/>
  <c r="E18" i="13"/>
  <c r="E19" i="13"/>
  <c r="F18" i="13"/>
  <c r="F19" i="13"/>
  <c r="G18" i="13"/>
  <c r="G19" i="13"/>
  <c r="H18" i="13"/>
  <c r="H19" i="13"/>
  <c r="I18" i="13"/>
  <c r="I19" i="13"/>
  <c r="J18" i="13"/>
  <c r="J19" i="13"/>
  <c r="K18" i="13"/>
  <c r="L18" i="13"/>
  <c r="L19" i="13"/>
  <c r="L24" i="13"/>
  <c r="M18" i="13"/>
  <c r="M19" i="13"/>
  <c r="N18" i="13"/>
  <c r="N19" i="13"/>
  <c r="O18" i="13"/>
  <c r="O19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F48" i="13"/>
  <c r="D48" i="13"/>
  <c r="F47" i="13"/>
  <c r="D47" i="13"/>
  <c r="F46" i="13"/>
  <c r="D46" i="13"/>
  <c r="C46" i="13"/>
  <c r="C48" i="13"/>
  <c r="F45" i="13"/>
  <c r="D45" i="13"/>
  <c r="C45" i="13"/>
  <c r="C47" i="13"/>
  <c r="F44" i="13"/>
  <c r="D44" i="13"/>
  <c r="F43" i="13"/>
  <c r="D43" i="13"/>
  <c r="K40" i="13"/>
  <c r="P31" i="13"/>
  <c r="O28" i="13"/>
  <c r="N28" i="13"/>
  <c r="P27" i="13"/>
  <c r="L22" i="13"/>
  <c r="K22" i="13"/>
  <c r="D19" i="13"/>
  <c r="Q27" i="5"/>
  <c r="Q28" i="5"/>
  <c r="D6" i="13"/>
  <c r="N6" i="13"/>
  <c r="P4" i="13"/>
  <c r="P3" i="13"/>
  <c r="J86" i="10"/>
  <c r="J87" i="10"/>
  <c r="J88" i="10"/>
  <c r="J89" i="10"/>
  <c r="J90" i="10"/>
  <c r="J85" i="10"/>
  <c r="M58" i="10"/>
  <c r="N58" i="10"/>
  <c r="O58" i="10"/>
  <c r="N57" i="10"/>
  <c r="M57" i="10"/>
  <c r="M56" i="10"/>
  <c r="N56" i="10"/>
  <c r="N55" i="10"/>
  <c r="M55" i="10"/>
  <c r="O54" i="10"/>
  <c r="O53" i="10"/>
  <c r="F11" i="13"/>
  <c r="H11" i="13"/>
  <c r="D11" i="13"/>
  <c r="D14" i="13"/>
  <c r="H44" i="13"/>
  <c r="H47" i="13"/>
  <c r="K11" i="13"/>
  <c r="K14" i="13"/>
  <c r="H46" i="13"/>
  <c r="E11" i="13"/>
  <c r="E14" i="13"/>
  <c r="P18" i="13"/>
  <c r="M11" i="13"/>
  <c r="G11" i="13"/>
  <c r="O11" i="13"/>
  <c r="O14" i="13"/>
  <c r="I11" i="13"/>
  <c r="H48" i="13"/>
  <c r="D7" i="13"/>
  <c r="E6" i="13"/>
  <c r="E7" i="13"/>
  <c r="I6" i="13"/>
  <c r="M6" i="13"/>
  <c r="M34" i="13"/>
  <c r="M37" i="13"/>
  <c r="H43" i="13"/>
  <c r="L23" i="13"/>
  <c r="G6" i="13"/>
  <c r="O6" i="13"/>
  <c r="J11" i="13"/>
  <c r="N11" i="13"/>
  <c r="P22" i="13"/>
  <c r="H45" i="13"/>
  <c r="P51" i="13"/>
  <c r="K6" i="13"/>
  <c r="K7" i="13"/>
  <c r="L11" i="13"/>
  <c r="L14" i="13"/>
  <c r="N34" i="13"/>
  <c r="N37" i="13"/>
  <c r="N7" i="13"/>
  <c r="F6" i="13"/>
  <c r="J6" i="13"/>
  <c r="P28" i="13"/>
  <c r="D34" i="13"/>
  <c r="H6" i="13"/>
  <c r="L6" i="13"/>
  <c r="K23" i="13"/>
  <c r="K19" i="13"/>
  <c r="K24" i="13"/>
  <c r="P24" i="13"/>
  <c r="O56" i="10"/>
  <c r="O55" i="10"/>
  <c r="O57" i="10"/>
  <c r="K45" i="10"/>
  <c r="J45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C94" i="10"/>
  <c r="C22" i="10"/>
  <c r="C30" i="10"/>
  <c r="E98" i="10"/>
  <c r="C98" i="10"/>
  <c r="E97" i="10"/>
  <c r="C97" i="10"/>
  <c r="E96" i="10"/>
  <c r="E94" i="10"/>
  <c r="E93" i="10"/>
  <c r="E95" i="10"/>
  <c r="C96" i="10"/>
  <c r="C95" i="10"/>
  <c r="C93" i="10"/>
  <c r="D21" i="10"/>
  <c r="D29" i="10"/>
  <c r="I2" i="9"/>
  <c r="I3" i="9"/>
  <c r="I4" i="9"/>
  <c r="I5" i="9"/>
  <c r="I6" i="9"/>
  <c r="I7" i="9"/>
  <c r="I8" i="9"/>
  <c r="I9" i="9"/>
  <c r="I10" i="9"/>
  <c r="I11" i="9"/>
  <c r="I12" i="9"/>
  <c r="I13" i="9"/>
  <c r="I14" i="9"/>
  <c r="U6" i="10"/>
  <c r="O6" i="10"/>
  <c r="O5" i="10"/>
  <c r="O4" i="10"/>
  <c r="O3" i="10"/>
  <c r="E21" i="10"/>
  <c r="P14" i="13"/>
  <c r="E34" i="13"/>
  <c r="E37" i="13"/>
  <c r="O7" i="13"/>
  <c r="O34" i="13"/>
  <c r="O37" i="13"/>
  <c r="I7" i="13"/>
  <c r="I34" i="13"/>
  <c r="I37" i="13"/>
  <c r="G7" i="13"/>
  <c r="P23" i="13"/>
  <c r="G34" i="13"/>
  <c r="G37" i="13"/>
  <c r="M7" i="13"/>
  <c r="P11" i="13"/>
  <c r="P6" i="13"/>
  <c r="L34" i="13"/>
  <c r="L37" i="13"/>
  <c r="L40" i="13"/>
  <c r="M40" i="13"/>
  <c r="N40" i="13"/>
  <c r="O40" i="13"/>
  <c r="L7" i="13"/>
  <c r="F34" i="13"/>
  <c r="F37" i="13"/>
  <c r="F7" i="13"/>
  <c r="H34" i="13"/>
  <c r="H37" i="13"/>
  <c r="H7" i="13"/>
  <c r="P19" i="13"/>
  <c r="D37" i="13"/>
  <c r="K34" i="13"/>
  <c r="K37" i="13"/>
  <c r="J34" i="13"/>
  <c r="J37" i="13"/>
  <c r="J7" i="13"/>
  <c r="D22" i="10"/>
  <c r="D30" i="10"/>
  <c r="C21" i="10"/>
  <c r="C29" i="10"/>
  <c r="H21" i="10"/>
  <c r="G21" i="10"/>
  <c r="F21" i="10"/>
  <c r="O45" i="10"/>
  <c r="L21" i="10"/>
  <c r="P4" i="10"/>
  <c r="N21" i="10"/>
  <c r="N29" i="10"/>
  <c r="J21" i="10"/>
  <c r="J29" i="10"/>
  <c r="K21" i="10"/>
  <c r="K29" i="10"/>
  <c r="M21" i="10"/>
  <c r="I21" i="10"/>
  <c r="P34" i="13"/>
  <c r="P7" i="13"/>
  <c r="D40" i="13"/>
  <c r="E40" i="13"/>
  <c r="F40" i="13"/>
  <c r="G40" i="13"/>
  <c r="H40" i="13"/>
  <c r="I40" i="13"/>
  <c r="J40" i="13"/>
  <c r="O29" i="10"/>
  <c r="C7" i="11"/>
  <c r="C18" i="2"/>
  <c r="D18" i="2"/>
  <c r="D19" i="2"/>
  <c r="E18" i="2"/>
  <c r="E19" i="2"/>
  <c r="F18" i="2"/>
  <c r="F19" i="2"/>
  <c r="G18" i="2"/>
  <c r="G19" i="2"/>
  <c r="H18" i="2"/>
  <c r="H19" i="2"/>
  <c r="I18" i="2"/>
  <c r="I19" i="2"/>
  <c r="J18" i="2"/>
  <c r="J19" i="2"/>
  <c r="K18" i="2"/>
  <c r="K19" i="2"/>
  <c r="L18" i="2"/>
  <c r="L19" i="2"/>
  <c r="M18" i="2"/>
  <c r="M19" i="2"/>
  <c r="N18" i="2"/>
  <c r="N19" i="2"/>
  <c r="C19" i="2"/>
  <c r="G98" i="10"/>
  <c r="G97" i="10"/>
  <c r="G96" i="10"/>
  <c r="B96" i="10"/>
  <c r="B98" i="10"/>
  <c r="N26" i="10"/>
  <c r="N34" i="10"/>
  <c r="G95" i="10"/>
  <c r="B95" i="10"/>
  <c r="B97" i="10"/>
  <c r="G94" i="10"/>
  <c r="G93" i="10"/>
  <c r="N40" i="10"/>
  <c r="N42" i="10"/>
  <c r="M40" i="10"/>
  <c r="M42" i="10"/>
  <c r="L40" i="10"/>
  <c r="L42" i="10"/>
  <c r="E40" i="10"/>
  <c r="E42" i="10"/>
  <c r="D40" i="10"/>
  <c r="D42" i="10"/>
  <c r="C40" i="10"/>
  <c r="N39" i="10"/>
  <c r="N41" i="10"/>
  <c r="M39" i="10"/>
  <c r="M41" i="10"/>
  <c r="L39" i="10"/>
  <c r="L41" i="10"/>
  <c r="K39" i="10"/>
  <c r="J39" i="10"/>
  <c r="I39" i="10"/>
  <c r="I41" i="10"/>
  <c r="H39" i="10"/>
  <c r="H41" i="10"/>
  <c r="G39" i="10"/>
  <c r="G41" i="10"/>
  <c r="F39" i="10"/>
  <c r="F41" i="10"/>
  <c r="E39" i="10"/>
  <c r="E41" i="10"/>
  <c r="D39" i="10"/>
  <c r="D41" i="10"/>
  <c r="C39" i="10"/>
  <c r="K38" i="10"/>
  <c r="J38" i="10"/>
  <c r="I38" i="10"/>
  <c r="I40" i="10"/>
  <c r="I42" i="10"/>
  <c r="H38" i="10"/>
  <c r="H40" i="10"/>
  <c r="H42" i="10"/>
  <c r="G38" i="10"/>
  <c r="G40" i="10"/>
  <c r="G42" i="10"/>
  <c r="F38" i="10"/>
  <c r="F40" i="10"/>
  <c r="F42" i="10"/>
  <c r="O37" i="10"/>
  <c r="M26" i="10"/>
  <c r="K26" i="10"/>
  <c r="K34" i="10"/>
  <c r="E26" i="10"/>
  <c r="C26" i="10"/>
  <c r="C34" i="10"/>
  <c r="M25" i="10"/>
  <c r="K25" i="10"/>
  <c r="K33" i="10"/>
  <c r="I25" i="10"/>
  <c r="G25" i="10"/>
  <c r="E25" i="10"/>
  <c r="C25" i="10"/>
  <c r="C33" i="10"/>
  <c r="M24" i="10"/>
  <c r="K24" i="10"/>
  <c r="K32" i="10"/>
  <c r="E24" i="10"/>
  <c r="C24" i="10"/>
  <c r="C32" i="10"/>
  <c r="M23" i="10"/>
  <c r="K23" i="10"/>
  <c r="K31" i="10"/>
  <c r="I23" i="10"/>
  <c r="G23" i="10"/>
  <c r="E23" i="10"/>
  <c r="C23" i="10"/>
  <c r="C31" i="10"/>
  <c r="M22" i="10"/>
  <c r="K22" i="10"/>
  <c r="K30" i="10"/>
  <c r="I22" i="10"/>
  <c r="G22" i="10"/>
  <c r="E22" i="10"/>
  <c r="C16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N13" i="10"/>
  <c r="M13" i="10"/>
  <c r="L13" i="10"/>
  <c r="K13" i="10"/>
  <c r="J13" i="10"/>
  <c r="I13" i="10"/>
  <c r="H13" i="10"/>
  <c r="G13" i="10"/>
  <c r="F13" i="10"/>
  <c r="E13" i="10"/>
  <c r="D13" i="10"/>
  <c r="O10" i="10"/>
  <c r="O9" i="10"/>
  <c r="O8" i="10"/>
  <c r="O7" i="10"/>
  <c r="C74" i="10"/>
  <c r="C70" i="10"/>
  <c r="C78" i="10"/>
  <c r="C69" i="10"/>
  <c r="C77" i="10"/>
  <c r="C73" i="10"/>
  <c r="C81" i="10"/>
  <c r="C72" i="10"/>
  <c r="C71" i="10"/>
  <c r="C79" i="10"/>
  <c r="G24" i="10"/>
  <c r="G26" i="10"/>
  <c r="H26" i="10"/>
  <c r="I24" i="10"/>
  <c r="I26" i="10"/>
  <c r="J40" i="10"/>
  <c r="J46" i="10"/>
  <c r="J26" i="10"/>
  <c r="J34" i="10"/>
  <c r="K40" i="10"/>
  <c r="K46" i="10"/>
  <c r="J41" i="10"/>
  <c r="J49" i="10"/>
  <c r="J47" i="10"/>
  <c r="D26" i="10"/>
  <c r="D34" i="10"/>
  <c r="O34" i="10"/>
  <c r="L26" i="10"/>
  <c r="K41" i="10"/>
  <c r="K49" i="10"/>
  <c r="K47" i="10"/>
  <c r="F26" i="10"/>
  <c r="O11" i="10"/>
  <c r="N16" i="10"/>
  <c r="H16" i="10"/>
  <c r="L16" i="10"/>
  <c r="D16" i="10"/>
  <c r="J16" i="10"/>
  <c r="H22" i="10"/>
  <c r="L22" i="10"/>
  <c r="D23" i="10"/>
  <c r="D31" i="10"/>
  <c r="H23" i="10"/>
  <c r="L23" i="10"/>
  <c r="D24" i="10"/>
  <c r="D32" i="10"/>
  <c r="H24" i="10"/>
  <c r="L24" i="10"/>
  <c r="D25" i="10"/>
  <c r="D33" i="10"/>
  <c r="H25" i="10"/>
  <c r="L25" i="10"/>
  <c r="O101" i="10"/>
  <c r="C17" i="10"/>
  <c r="O13" i="10"/>
  <c r="F16" i="10"/>
  <c r="F22" i="10"/>
  <c r="J22" i="10"/>
  <c r="J30" i="10"/>
  <c r="N22" i="10"/>
  <c r="N30" i="10"/>
  <c r="F23" i="10"/>
  <c r="J23" i="10"/>
  <c r="J31" i="10"/>
  <c r="N23" i="10"/>
  <c r="N31" i="10"/>
  <c r="F24" i="10"/>
  <c r="J24" i="10"/>
  <c r="J32" i="10"/>
  <c r="N24" i="10"/>
  <c r="N32" i="10"/>
  <c r="F25" i="10"/>
  <c r="J25" i="10"/>
  <c r="J33" i="10"/>
  <c r="N25" i="10"/>
  <c r="N33" i="10"/>
  <c r="O39" i="10"/>
  <c r="O66" i="10"/>
  <c r="O61" i="10"/>
  <c r="O40" i="10"/>
  <c r="O12" i="10"/>
  <c r="E16" i="10"/>
  <c r="I16" i="10"/>
  <c r="M16" i="10"/>
  <c r="C41" i="10"/>
  <c r="O41" i="10"/>
  <c r="O38" i="10"/>
  <c r="C42" i="10"/>
  <c r="O14" i="10"/>
  <c r="G16" i="10"/>
  <c r="K16" i="10"/>
  <c r="M93" i="6"/>
  <c r="L93" i="6"/>
  <c r="C93" i="6"/>
  <c r="D93" i="6"/>
  <c r="E93" i="6"/>
  <c r="F93" i="6"/>
  <c r="G93" i="6"/>
  <c r="B93" i="6"/>
  <c r="H92" i="6"/>
  <c r="I92" i="6"/>
  <c r="J92" i="6"/>
  <c r="K92" i="6"/>
  <c r="O31" i="10"/>
  <c r="O32" i="10"/>
  <c r="O26" i="10"/>
  <c r="O33" i="10"/>
  <c r="M72" i="10"/>
  <c r="M74" i="10"/>
  <c r="M69" i="10"/>
  <c r="M77" i="10"/>
  <c r="M73" i="10"/>
  <c r="M81" i="10"/>
  <c r="M71" i="10"/>
  <c r="M70" i="10"/>
  <c r="M78" i="10"/>
  <c r="I72" i="10"/>
  <c r="I70" i="10"/>
  <c r="I78" i="10"/>
  <c r="I71" i="10"/>
  <c r="I74" i="10"/>
  <c r="I69" i="10"/>
  <c r="I77" i="10"/>
  <c r="I73" i="10"/>
  <c r="I81" i="10"/>
  <c r="L71" i="10"/>
  <c r="L73" i="10"/>
  <c r="L81" i="10"/>
  <c r="L70" i="10"/>
  <c r="L78" i="10"/>
  <c r="L74" i="10"/>
  <c r="L69" i="10"/>
  <c r="L77" i="10"/>
  <c r="L72" i="10"/>
  <c r="F73" i="10"/>
  <c r="F81" i="10"/>
  <c r="F71" i="10"/>
  <c r="F70" i="10"/>
  <c r="F78" i="10"/>
  <c r="F69" i="10"/>
  <c r="F77" i="10"/>
  <c r="F72" i="10"/>
  <c r="F74" i="10"/>
  <c r="D71" i="10"/>
  <c r="D79" i="10"/>
  <c r="D73" i="10"/>
  <c r="D81" i="10"/>
  <c r="D70" i="10"/>
  <c r="D78" i="10"/>
  <c r="D74" i="10"/>
  <c r="D69" i="10"/>
  <c r="D77" i="10"/>
  <c r="D72" i="10"/>
  <c r="K70" i="10"/>
  <c r="K78" i="10"/>
  <c r="K86" i="10"/>
  <c r="L86" i="10"/>
  <c r="M86" i="10"/>
  <c r="K69" i="10"/>
  <c r="K77" i="10"/>
  <c r="K85" i="10"/>
  <c r="K71" i="10"/>
  <c r="K73" i="10"/>
  <c r="K81" i="10"/>
  <c r="K89" i="10"/>
  <c r="L89" i="10"/>
  <c r="M89" i="10"/>
  <c r="E72" i="10"/>
  <c r="E74" i="10"/>
  <c r="E69" i="10"/>
  <c r="E77" i="10"/>
  <c r="E73" i="10"/>
  <c r="E81" i="10"/>
  <c r="E71" i="10"/>
  <c r="E70" i="10"/>
  <c r="E78" i="10"/>
  <c r="H71" i="10"/>
  <c r="H72" i="10"/>
  <c r="H70" i="10"/>
  <c r="H78" i="10"/>
  <c r="H74" i="10"/>
  <c r="H69" i="10"/>
  <c r="H77" i="10"/>
  <c r="H73" i="10"/>
  <c r="H81" i="10"/>
  <c r="G70" i="10"/>
  <c r="G78" i="10"/>
  <c r="G74" i="10"/>
  <c r="G69" i="10"/>
  <c r="G77" i="10"/>
  <c r="G73" i="10"/>
  <c r="G81" i="10"/>
  <c r="G72" i="10"/>
  <c r="G71" i="10"/>
  <c r="J73" i="10"/>
  <c r="J81" i="10"/>
  <c r="J70" i="10"/>
  <c r="J78" i="10"/>
  <c r="J71" i="10"/>
  <c r="J69" i="10"/>
  <c r="J77" i="10"/>
  <c r="N73" i="10"/>
  <c r="N81" i="10"/>
  <c r="N71" i="10"/>
  <c r="N70" i="10"/>
  <c r="N78" i="10"/>
  <c r="N74" i="10"/>
  <c r="N82" i="10"/>
  <c r="N69" i="10"/>
  <c r="N77" i="10"/>
  <c r="N72" i="10"/>
  <c r="O30" i="10"/>
  <c r="O47" i="10"/>
  <c r="O49" i="10"/>
  <c r="O46" i="10"/>
  <c r="K42" i="10"/>
  <c r="K50" i="10"/>
  <c r="K74" i="10"/>
  <c r="K48" i="10"/>
  <c r="K72" i="10"/>
  <c r="J42" i="10"/>
  <c r="J50" i="10"/>
  <c r="J74" i="10"/>
  <c r="J48" i="10"/>
  <c r="C82" i="10"/>
  <c r="L17" i="10"/>
  <c r="N17" i="10"/>
  <c r="M17" i="10"/>
  <c r="M82" i="10"/>
  <c r="H17" i="10"/>
  <c r="K17" i="10"/>
  <c r="K79" i="10"/>
  <c r="K87" i="10"/>
  <c r="I17" i="10"/>
  <c r="J17" i="10"/>
  <c r="G17" i="10"/>
  <c r="E17" i="10"/>
  <c r="E82" i="10"/>
  <c r="F17" i="10"/>
  <c r="D17" i="10"/>
  <c r="O65" i="10"/>
  <c r="O62" i="10"/>
  <c r="O25" i="10"/>
  <c r="O64" i="10"/>
  <c r="O21" i="10"/>
  <c r="O24" i="10"/>
  <c r="O22" i="10"/>
  <c r="O63" i="10"/>
  <c r="O23" i="10"/>
  <c r="C80" i="10"/>
  <c r="O16" i="10"/>
  <c r="D34" i="2"/>
  <c r="D36" i="2"/>
  <c r="F100" i="6"/>
  <c r="E34" i="2"/>
  <c r="E36" i="2"/>
  <c r="G100" i="6"/>
  <c r="F32" i="2"/>
  <c r="F34" i="2"/>
  <c r="F36" i="2"/>
  <c r="H100" i="6"/>
  <c r="G32" i="2"/>
  <c r="G34" i="2"/>
  <c r="G36" i="2"/>
  <c r="I100" i="6"/>
  <c r="H32" i="2"/>
  <c r="H34" i="2"/>
  <c r="H36" i="2"/>
  <c r="J100" i="6"/>
  <c r="I32" i="2"/>
  <c r="I34" i="2"/>
  <c r="I36" i="2"/>
  <c r="K100" i="6"/>
  <c r="J32" i="2"/>
  <c r="J34" i="2"/>
  <c r="J36" i="2"/>
  <c r="L100" i="6"/>
  <c r="K32" i="2"/>
  <c r="K34" i="2"/>
  <c r="K36" i="2"/>
  <c r="M100" i="6"/>
  <c r="F101" i="6"/>
  <c r="G101" i="6"/>
  <c r="H101" i="6"/>
  <c r="I101" i="6"/>
  <c r="J101" i="6"/>
  <c r="K101" i="6"/>
  <c r="L101" i="6"/>
  <c r="M101" i="6"/>
  <c r="C34" i="2"/>
  <c r="C36" i="2"/>
  <c r="E101" i="6"/>
  <c r="E100" i="6"/>
  <c r="M34" i="2"/>
  <c r="M36" i="2"/>
  <c r="C100" i="6"/>
  <c r="N34" i="2"/>
  <c r="N36" i="2"/>
  <c r="D100" i="6"/>
  <c r="C101" i="6"/>
  <c r="D101" i="6"/>
  <c r="L34" i="2"/>
  <c r="L36" i="2"/>
  <c r="B101" i="6"/>
  <c r="B100" i="6"/>
  <c r="G109" i="6"/>
  <c r="H109" i="6"/>
  <c r="I109" i="6"/>
  <c r="J109" i="6"/>
  <c r="K109" i="6"/>
  <c r="L109" i="6"/>
  <c r="M109" i="6"/>
  <c r="B109" i="6"/>
  <c r="C109" i="6"/>
  <c r="D109" i="6"/>
  <c r="E109" i="6"/>
  <c r="F109" i="6"/>
  <c r="D15" i="2"/>
  <c r="F94" i="6"/>
  <c r="E15" i="2"/>
  <c r="G94" i="6"/>
  <c r="F15" i="2"/>
  <c r="H94" i="6"/>
  <c r="G15" i="2"/>
  <c r="I94" i="6"/>
  <c r="H15" i="2"/>
  <c r="J94" i="6"/>
  <c r="I15" i="2"/>
  <c r="K94" i="6"/>
  <c r="J15" i="2"/>
  <c r="L94" i="6"/>
  <c r="K15" i="2"/>
  <c r="M94" i="6"/>
  <c r="D16" i="2"/>
  <c r="F95" i="6"/>
  <c r="E16" i="2"/>
  <c r="G95" i="6"/>
  <c r="F16" i="2"/>
  <c r="H95" i="6"/>
  <c r="G16" i="2"/>
  <c r="I95" i="6"/>
  <c r="H16" i="2"/>
  <c r="J95" i="6"/>
  <c r="I16" i="2"/>
  <c r="K95" i="6"/>
  <c r="J16" i="2"/>
  <c r="L95" i="6"/>
  <c r="K16" i="2"/>
  <c r="M95" i="6"/>
  <c r="C16" i="2"/>
  <c r="E95" i="6"/>
  <c r="E94" i="6"/>
  <c r="M15" i="2"/>
  <c r="C94" i="6"/>
  <c r="N15" i="2"/>
  <c r="D94" i="6"/>
  <c r="M16" i="2"/>
  <c r="C95" i="6"/>
  <c r="N16" i="2"/>
  <c r="D95" i="6"/>
  <c r="F97" i="6"/>
  <c r="G97" i="6"/>
  <c r="H97" i="6"/>
  <c r="I97" i="6"/>
  <c r="J97" i="6"/>
  <c r="K97" i="6"/>
  <c r="L97" i="6"/>
  <c r="M97" i="6"/>
  <c r="E97" i="6"/>
  <c r="C97" i="6"/>
  <c r="D97" i="6"/>
  <c r="N80" i="10"/>
  <c r="O48" i="10"/>
  <c r="J72" i="10"/>
  <c r="J80" i="10"/>
  <c r="L85" i="10"/>
  <c r="M85" i="10"/>
  <c r="N85" i="10"/>
  <c r="C85" i="10"/>
  <c r="D85" i="10"/>
  <c r="E85" i="10"/>
  <c r="F85" i="10"/>
  <c r="G85" i="10"/>
  <c r="N89" i="10"/>
  <c r="C89" i="10"/>
  <c r="D89" i="10"/>
  <c r="E89" i="10"/>
  <c r="F89" i="10"/>
  <c r="G89" i="10"/>
  <c r="H89" i="10"/>
  <c r="I89" i="10"/>
  <c r="N86" i="10"/>
  <c r="C86" i="10"/>
  <c r="D86" i="10"/>
  <c r="E86" i="10"/>
  <c r="F86" i="10"/>
  <c r="G86" i="10"/>
  <c r="H86" i="10"/>
  <c r="I86" i="10"/>
  <c r="L79" i="10"/>
  <c r="L87" i="10"/>
  <c r="G80" i="10"/>
  <c r="F80" i="10"/>
  <c r="I79" i="10"/>
  <c r="O50" i="10"/>
  <c r="O42" i="10"/>
  <c r="E80" i="10"/>
  <c r="G82" i="10"/>
  <c r="M80" i="10"/>
  <c r="F82" i="10"/>
  <c r="D82" i="10"/>
  <c r="J82" i="10"/>
  <c r="F79" i="10"/>
  <c r="D80" i="10"/>
  <c r="G79" i="10"/>
  <c r="K80" i="10"/>
  <c r="K88" i="10"/>
  <c r="H79" i="10"/>
  <c r="H82" i="10"/>
  <c r="K82" i="10"/>
  <c r="K90" i="10"/>
  <c r="H80" i="10"/>
  <c r="N79" i="10"/>
  <c r="O17" i="10"/>
  <c r="E79" i="10"/>
  <c r="I82" i="10"/>
  <c r="M79" i="10"/>
  <c r="J79" i="10"/>
  <c r="I80" i="10"/>
  <c r="L82" i="10"/>
  <c r="L80" i="10"/>
  <c r="D90" i="6"/>
  <c r="E90" i="6"/>
  <c r="M90" i="6"/>
  <c r="I90" i="6"/>
  <c r="C90" i="6"/>
  <c r="C91" i="6"/>
  <c r="L90" i="6"/>
  <c r="H90" i="6"/>
  <c r="H91" i="6"/>
  <c r="G90" i="6"/>
  <c r="K90" i="6"/>
  <c r="K91" i="6"/>
  <c r="J90" i="6"/>
  <c r="F90" i="6"/>
  <c r="F91" i="6"/>
  <c r="N101" i="6"/>
  <c r="B97" i="2"/>
  <c r="B99" i="2"/>
  <c r="D102" i="2"/>
  <c r="D28" i="2"/>
  <c r="F98" i="6"/>
  <c r="E102" i="2"/>
  <c r="E28" i="2"/>
  <c r="G98" i="6"/>
  <c r="F102" i="2"/>
  <c r="F28" i="2"/>
  <c r="H98" i="6"/>
  <c r="G102" i="2"/>
  <c r="G28" i="2"/>
  <c r="I98" i="6"/>
  <c r="H102" i="2"/>
  <c r="H28" i="2"/>
  <c r="J98" i="6"/>
  <c r="I102" i="2"/>
  <c r="I28" i="2"/>
  <c r="K98" i="6"/>
  <c r="J102" i="2"/>
  <c r="J28" i="2"/>
  <c r="L98" i="6"/>
  <c r="K102" i="2"/>
  <c r="K28" i="2"/>
  <c r="M98" i="6"/>
  <c r="D44" i="2"/>
  <c r="F99" i="6"/>
  <c r="E44" i="2"/>
  <c r="G99" i="6"/>
  <c r="F44" i="2"/>
  <c r="H99" i="6"/>
  <c r="G44" i="2"/>
  <c r="I99" i="6"/>
  <c r="H44" i="2"/>
  <c r="J99" i="6"/>
  <c r="I44" i="2"/>
  <c r="K99" i="6"/>
  <c r="J44" i="2"/>
  <c r="L99" i="6"/>
  <c r="K44" i="2"/>
  <c r="M99" i="6"/>
  <c r="D91" i="6"/>
  <c r="C102" i="2"/>
  <c r="C28" i="2"/>
  <c r="C44" i="2"/>
  <c r="E99" i="6"/>
  <c r="E98" i="6"/>
  <c r="M102" i="2"/>
  <c r="M28" i="2"/>
  <c r="C98" i="6"/>
  <c r="N102" i="2"/>
  <c r="N28" i="2"/>
  <c r="D98" i="6"/>
  <c r="M44" i="2"/>
  <c r="C99" i="6"/>
  <c r="N44" i="2"/>
  <c r="D99" i="6"/>
  <c r="L102" i="2"/>
  <c r="L28" i="2"/>
  <c r="L44" i="2"/>
  <c r="B99" i="6"/>
  <c r="B98" i="6"/>
  <c r="B97" i="6"/>
  <c r="N97" i="6"/>
  <c r="L16" i="2"/>
  <c r="B95" i="6"/>
  <c r="L15" i="2"/>
  <c r="B94" i="6"/>
  <c r="L91" i="6"/>
  <c r="J91" i="6"/>
  <c r="I91" i="6"/>
  <c r="G91" i="6"/>
  <c r="E91" i="6"/>
  <c r="N89" i="6"/>
  <c r="L90" i="10"/>
  <c r="M90" i="10"/>
  <c r="N90" i="10"/>
  <c r="C90" i="10"/>
  <c r="D90" i="10"/>
  <c r="E90" i="10"/>
  <c r="F90" i="10"/>
  <c r="G90" i="10"/>
  <c r="H90" i="10"/>
  <c r="I90" i="10"/>
  <c r="H85" i="10"/>
  <c r="I85" i="10"/>
  <c r="P90" i="10"/>
  <c r="M87" i="10"/>
  <c r="N87" i="10"/>
  <c r="C87" i="10"/>
  <c r="D87" i="10"/>
  <c r="E87" i="10"/>
  <c r="F87" i="10"/>
  <c r="G87" i="10"/>
  <c r="H87" i="10"/>
  <c r="I87" i="10"/>
  <c r="L88" i="10"/>
  <c r="M88" i="10"/>
  <c r="N88" i="10"/>
  <c r="C88" i="10"/>
  <c r="D88" i="10"/>
  <c r="E88" i="10"/>
  <c r="F88" i="10"/>
  <c r="G88" i="10"/>
  <c r="H88" i="10"/>
  <c r="I88" i="10"/>
  <c r="O71" i="10"/>
  <c r="O70" i="10"/>
  <c r="O69" i="10"/>
  <c r="O74" i="10"/>
  <c r="O73" i="10"/>
  <c r="O72" i="10"/>
  <c r="B90" i="6"/>
  <c r="B91" i="6"/>
  <c r="M91" i="6"/>
  <c r="N90" i="6"/>
  <c r="I105" i="6"/>
  <c r="M104" i="6"/>
  <c r="M102" i="6"/>
  <c r="K102" i="6"/>
  <c r="I102" i="6"/>
  <c r="G102" i="6"/>
  <c r="E102" i="6"/>
  <c r="C102" i="6"/>
  <c r="N98" i="6"/>
  <c r="N100" i="6"/>
  <c r="N94" i="6"/>
  <c r="N95" i="6"/>
  <c r="D102" i="6"/>
  <c r="H102" i="6"/>
  <c r="L102" i="6"/>
  <c r="B102" i="6"/>
  <c r="F102" i="6"/>
  <c r="J102" i="6"/>
  <c r="N99" i="6"/>
  <c r="B14" i="9"/>
  <c r="C14" i="9"/>
  <c r="D14" i="9"/>
  <c r="E14" i="9"/>
  <c r="F14" i="9"/>
  <c r="G14" i="9"/>
  <c r="H14" i="9"/>
  <c r="I17" i="9"/>
  <c r="H15" i="9"/>
  <c r="G15" i="9"/>
  <c r="F15" i="9"/>
  <c r="E15" i="9"/>
  <c r="D15" i="9"/>
  <c r="C15" i="9"/>
  <c r="N102" i="6"/>
  <c r="G14" i="2"/>
  <c r="G13" i="2"/>
  <c r="H14" i="2"/>
  <c r="H13" i="2"/>
  <c r="I14" i="2"/>
  <c r="I13" i="2"/>
  <c r="J14" i="2"/>
  <c r="J13" i="2"/>
  <c r="K14" i="2"/>
  <c r="K13" i="2"/>
  <c r="D76" i="6"/>
  <c r="C76" i="6"/>
  <c r="B76" i="6"/>
  <c r="M76" i="6"/>
  <c r="L76" i="6"/>
  <c r="K76" i="6"/>
  <c r="J76" i="6"/>
  <c r="I76" i="6"/>
  <c r="H76" i="6"/>
  <c r="G76" i="6"/>
  <c r="F76" i="6"/>
  <c r="E76" i="6"/>
  <c r="N13" i="2"/>
  <c r="D60" i="6"/>
  <c r="M13" i="2"/>
  <c r="C60" i="6"/>
  <c r="L13" i="2"/>
  <c r="B60" i="6"/>
  <c r="M60" i="6"/>
  <c r="L60" i="6"/>
  <c r="K60" i="6"/>
  <c r="J60" i="6"/>
  <c r="I60" i="6"/>
  <c r="F13" i="2"/>
  <c r="H60" i="6"/>
  <c r="E13" i="2"/>
  <c r="G60" i="6"/>
  <c r="D13" i="2"/>
  <c r="F60" i="6"/>
  <c r="E60" i="6"/>
  <c r="D46" i="6"/>
  <c r="C46" i="6"/>
  <c r="B46" i="6"/>
  <c r="M46" i="6"/>
  <c r="L46" i="6"/>
  <c r="K46" i="6"/>
  <c r="J46" i="6"/>
  <c r="I46" i="6"/>
  <c r="H46" i="6"/>
  <c r="G46" i="6"/>
  <c r="F46" i="6"/>
  <c r="E46" i="6"/>
  <c r="O13" i="2"/>
  <c r="O15" i="2"/>
  <c r="O11" i="2"/>
  <c r="O9" i="2"/>
  <c r="N46" i="6"/>
  <c r="N76" i="6"/>
  <c r="N60" i="6"/>
  <c r="AJ12" i="1"/>
  <c r="AJ10" i="1"/>
  <c r="AJ9" i="1"/>
  <c r="AJ8" i="1"/>
  <c r="AJ7" i="1"/>
  <c r="C14" i="2"/>
  <c r="D14" i="2"/>
  <c r="E14" i="2"/>
  <c r="F14" i="2"/>
  <c r="L14" i="2"/>
  <c r="M14" i="2"/>
  <c r="N14" i="2"/>
  <c r="C23" i="2"/>
  <c r="D23" i="2"/>
  <c r="E23" i="2"/>
  <c r="F23" i="2"/>
  <c r="G23" i="2"/>
  <c r="H23" i="2"/>
  <c r="I23" i="2"/>
  <c r="J23" i="2"/>
  <c r="K23" i="2"/>
  <c r="L23" i="2"/>
  <c r="M23" i="2"/>
  <c r="N23" i="2"/>
  <c r="B96" i="2"/>
  <c r="B98" i="2"/>
  <c r="J27" i="2"/>
  <c r="J26" i="2"/>
  <c r="J25" i="2"/>
  <c r="J24" i="2"/>
  <c r="N27" i="2"/>
  <c r="N26" i="2"/>
  <c r="N25" i="2"/>
  <c r="N24" i="2"/>
  <c r="M27" i="2"/>
  <c r="M26" i="2"/>
  <c r="M25" i="2"/>
  <c r="M24" i="2"/>
  <c r="L27" i="2"/>
  <c r="L26" i="2"/>
  <c r="L25" i="2"/>
  <c r="L24" i="2"/>
  <c r="K27" i="2"/>
  <c r="K26" i="2"/>
  <c r="K25" i="2"/>
  <c r="K24" i="2"/>
  <c r="I27" i="2"/>
  <c r="I26" i="2"/>
  <c r="I25" i="2"/>
  <c r="I24" i="2"/>
  <c r="H27" i="2"/>
  <c r="H26" i="2"/>
  <c r="H25" i="2"/>
  <c r="H24" i="2"/>
  <c r="G27" i="2"/>
  <c r="G26" i="2"/>
  <c r="G25" i="2"/>
  <c r="G24" i="2"/>
  <c r="F27" i="2"/>
  <c r="F26" i="2"/>
  <c r="F25" i="2"/>
  <c r="F24" i="2"/>
  <c r="E27" i="2"/>
  <c r="E26" i="2"/>
  <c r="E25" i="2"/>
  <c r="E24" i="2"/>
  <c r="D27" i="2"/>
  <c r="D26" i="2"/>
  <c r="D25" i="2"/>
  <c r="D24" i="2"/>
  <c r="C27" i="2"/>
  <c r="C26" i="2"/>
  <c r="C25" i="2"/>
  <c r="C24" i="2"/>
  <c r="O102" i="2"/>
  <c r="N42" i="2"/>
  <c r="N52" i="2"/>
  <c r="N60" i="2"/>
  <c r="D77" i="6"/>
  <c r="D61" i="6"/>
  <c r="D20" i="6"/>
  <c r="D47" i="6"/>
  <c r="C77" i="6"/>
  <c r="C33" i="6"/>
  <c r="C20" i="6"/>
  <c r="B77" i="6"/>
  <c r="M61" i="6"/>
  <c r="B61" i="6"/>
  <c r="B20" i="6"/>
  <c r="B47" i="6"/>
  <c r="B33" i="6"/>
  <c r="L47" i="6"/>
  <c r="L61" i="6"/>
  <c r="L20" i="6"/>
  <c r="M47" i="6"/>
  <c r="K47" i="6"/>
  <c r="K61" i="6"/>
  <c r="K20" i="6"/>
  <c r="J33" i="6"/>
  <c r="J77" i="6"/>
  <c r="I61" i="6"/>
  <c r="I20" i="6"/>
  <c r="I77" i="6"/>
  <c r="H47" i="6"/>
  <c r="H61" i="6"/>
  <c r="H20" i="6"/>
  <c r="G47" i="6"/>
  <c r="G61" i="6"/>
  <c r="G20" i="6"/>
  <c r="F77" i="6"/>
  <c r="F61" i="6"/>
  <c r="F20" i="6"/>
  <c r="E77" i="6"/>
  <c r="E61" i="6"/>
  <c r="F47" i="6"/>
  <c r="F33" i="6"/>
  <c r="H33" i="6"/>
  <c r="K33" i="6"/>
  <c r="L33" i="6"/>
  <c r="J20" i="6"/>
  <c r="M20" i="6"/>
  <c r="E20" i="6"/>
  <c r="F25" i="6"/>
  <c r="G25" i="6"/>
  <c r="B25" i="6"/>
  <c r="C25" i="6"/>
  <c r="D25" i="6"/>
  <c r="E25" i="6"/>
  <c r="O18" i="2"/>
  <c r="O19" i="2"/>
  <c r="C47" i="6"/>
  <c r="H77" i="6"/>
  <c r="K77" i="6"/>
  <c r="D33" i="6"/>
  <c r="I33" i="6"/>
  <c r="E47" i="6"/>
  <c r="M33" i="6"/>
  <c r="E33" i="6"/>
  <c r="G33" i="6"/>
  <c r="I47" i="6"/>
  <c r="C61" i="6"/>
  <c r="J47" i="6"/>
  <c r="G77" i="6"/>
  <c r="L77" i="6"/>
  <c r="M77" i="6"/>
  <c r="N77" i="6"/>
  <c r="J61" i="6"/>
  <c r="N61" i="6"/>
  <c r="N47" i="6"/>
  <c r="N33" i="6"/>
  <c r="E63" i="6"/>
  <c r="E79" i="6"/>
  <c r="E49" i="6"/>
  <c r="E35" i="6"/>
  <c r="E8" i="6"/>
  <c r="E22" i="6"/>
  <c r="G9" i="5"/>
  <c r="I9" i="5"/>
  <c r="G8" i="5"/>
  <c r="I8" i="5"/>
  <c r="L33" i="1"/>
  <c r="L34" i="1"/>
  <c r="L35" i="1"/>
  <c r="L36" i="1"/>
  <c r="L37" i="1"/>
  <c r="L38" i="1"/>
  <c r="L39" i="1"/>
  <c r="L40" i="1"/>
  <c r="L41" i="1"/>
  <c r="L42" i="1"/>
  <c r="L43" i="1"/>
  <c r="L32" i="1"/>
  <c r="L44" i="1"/>
  <c r="G79" i="6"/>
  <c r="G63" i="6"/>
  <c r="G49" i="6"/>
  <c r="G35" i="6"/>
  <c r="G8" i="6"/>
  <c r="G22" i="6"/>
  <c r="D49" i="6"/>
  <c r="D79" i="6"/>
  <c r="D63" i="6"/>
  <c r="D35" i="6"/>
  <c r="D22" i="6"/>
  <c r="D8" i="6"/>
  <c r="B63" i="6"/>
  <c r="B35" i="6"/>
  <c r="B22" i="6"/>
  <c r="B8" i="6"/>
  <c r="B49" i="6"/>
  <c r="B79" i="6"/>
  <c r="L49" i="6"/>
  <c r="L79" i="6"/>
  <c r="L63" i="6"/>
  <c r="L35" i="6"/>
  <c r="L22" i="6"/>
  <c r="L8" i="6"/>
  <c r="M63" i="6"/>
  <c r="M49" i="6"/>
  <c r="M79" i="6"/>
  <c r="M8" i="6"/>
  <c r="M22" i="6"/>
  <c r="M35" i="6"/>
  <c r="C79" i="6"/>
  <c r="C63" i="6"/>
  <c r="C49" i="6"/>
  <c r="C35" i="6"/>
  <c r="C8" i="6"/>
  <c r="C22" i="6"/>
  <c r="J63" i="6"/>
  <c r="J35" i="6"/>
  <c r="J22" i="6"/>
  <c r="J8" i="6"/>
  <c r="J49" i="6"/>
  <c r="J79" i="6"/>
  <c r="H49" i="6"/>
  <c r="H79" i="6"/>
  <c r="H63" i="6"/>
  <c r="H35" i="6"/>
  <c r="H22" i="6"/>
  <c r="H8" i="6"/>
  <c r="I63" i="6"/>
  <c r="I49" i="6"/>
  <c r="I79" i="6"/>
  <c r="I22" i="6"/>
  <c r="I35" i="6"/>
  <c r="I8" i="6"/>
  <c r="K79" i="6"/>
  <c r="K63" i="6"/>
  <c r="K49" i="6"/>
  <c r="K8" i="6"/>
  <c r="K22" i="6"/>
  <c r="K35" i="6"/>
  <c r="F63" i="6"/>
  <c r="F35" i="6"/>
  <c r="F22" i="6"/>
  <c r="F8" i="6"/>
  <c r="F49" i="6"/>
  <c r="F79" i="6"/>
  <c r="L46" i="1"/>
  <c r="N79" i="6"/>
  <c r="C9" i="3"/>
  <c r="C12" i="3"/>
  <c r="F90" i="2"/>
  <c r="E34" i="5"/>
  <c r="D34" i="5"/>
  <c r="F28" i="5"/>
  <c r="O14" i="2"/>
  <c r="O10" i="2"/>
  <c r="O12" i="2"/>
  <c r="N33" i="2"/>
  <c r="D38" i="6"/>
  <c r="M33" i="2"/>
  <c r="L33" i="2"/>
  <c r="K33" i="2"/>
  <c r="J33" i="2"/>
  <c r="L38" i="6"/>
  <c r="I33" i="2"/>
  <c r="H33" i="2"/>
  <c r="G33" i="2"/>
  <c r="F33" i="2"/>
  <c r="E33" i="2"/>
  <c r="D33" i="2"/>
  <c r="C33" i="2"/>
  <c r="O7" i="2"/>
  <c r="J35" i="2"/>
  <c r="L66" i="6"/>
  <c r="C35" i="2"/>
  <c r="E66" i="6"/>
  <c r="E38" i="6"/>
  <c r="G35" i="2"/>
  <c r="I66" i="6"/>
  <c r="I38" i="6"/>
  <c r="K35" i="2"/>
  <c r="M66" i="6"/>
  <c r="M38" i="6"/>
  <c r="D82" i="6"/>
  <c r="D52" i="6"/>
  <c r="F82" i="6"/>
  <c r="F52" i="6"/>
  <c r="H35" i="2"/>
  <c r="J66" i="6"/>
  <c r="J38" i="6"/>
  <c r="L35" i="2"/>
  <c r="B66" i="6"/>
  <c r="B38" i="6"/>
  <c r="C82" i="6"/>
  <c r="C52" i="6"/>
  <c r="E82" i="6"/>
  <c r="E52" i="6"/>
  <c r="F35" i="2"/>
  <c r="H66" i="6"/>
  <c r="H38" i="6"/>
  <c r="G82" i="6"/>
  <c r="G52" i="6"/>
  <c r="D35" i="2"/>
  <c r="F66" i="6"/>
  <c r="F38" i="6"/>
  <c r="E35" i="2"/>
  <c r="G66" i="6"/>
  <c r="G38" i="6"/>
  <c r="I35" i="2"/>
  <c r="K66" i="6"/>
  <c r="K38" i="6"/>
  <c r="M35" i="2"/>
  <c r="C66" i="6"/>
  <c r="C38" i="6"/>
  <c r="B82" i="6"/>
  <c r="B52" i="6"/>
  <c r="N35" i="2"/>
  <c r="D66" i="6"/>
  <c r="D11" i="6"/>
  <c r="C11" i="6"/>
  <c r="B11" i="6"/>
  <c r="M11" i="6"/>
  <c r="L11" i="6"/>
  <c r="K11" i="6"/>
  <c r="J11" i="6"/>
  <c r="I11" i="6"/>
  <c r="H11" i="6"/>
  <c r="G11" i="6"/>
  <c r="F11" i="6"/>
  <c r="E11" i="6"/>
  <c r="F6" i="6"/>
  <c r="G6" i="6"/>
  <c r="H6" i="6"/>
  <c r="I6" i="6"/>
  <c r="J6" i="6"/>
  <c r="K6" i="6"/>
  <c r="L6" i="6"/>
  <c r="M6" i="6"/>
  <c r="B6" i="6"/>
  <c r="C6" i="6"/>
  <c r="D6" i="6"/>
  <c r="E6" i="6"/>
  <c r="O31" i="2"/>
  <c r="O6" i="2"/>
  <c r="C14" i="7"/>
  <c r="B14" i="7"/>
  <c r="D14" i="7"/>
  <c r="B13" i="7"/>
  <c r="D4" i="7"/>
  <c r="D12" i="7"/>
  <c r="D11" i="7"/>
  <c r="D10" i="7"/>
  <c r="D9" i="7"/>
  <c r="D8" i="7"/>
  <c r="D7" i="7"/>
  <c r="D5" i="7"/>
  <c r="D39" i="2"/>
  <c r="F10" i="6"/>
  <c r="H39" i="2"/>
  <c r="J10" i="6"/>
  <c r="E39" i="2"/>
  <c r="G10" i="6"/>
  <c r="I39" i="2"/>
  <c r="K10" i="6"/>
  <c r="M39" i="2"/>
  <c r="C10" i="6"/>
  <c r="N66" i="6"/>
  <c r="F39" i="2"/>
  <c r="H10" i="6"/>
  <c r="J39" i="2"/>
  <c r="L10" i="6"/>
  <c r="N39" i="2"/>
  <c r="D10" i="6"/>
  <c r="N38" i="6"/>
  <c r="C39" i="2"/>
  <c r="E10" i="6"/>
  <c r="G39" i="2"/>
  <c r="I10" i="6"/>
  <c r="K39" i="2"/>
  <c r="M10" i="6"/>
  <c r="L39" i="2"/>
  <c r="B10" i="6"/>
  <c r="F9" i="6"/>
  <c r="J9" i="6"/>
  <c r="B9" i="6"/>
  <c r="E9" i="6"/>
  <c r="G9" i="6"/>
  <c r="K9" i="6"/>
  <c r="C9" i="6"/>
  <c r="H9" i="6"/>
  <c r="L9" i="6"/>
  <c r="D9" i="6"/>
  <c r="I9" i="6"/>
  <c r="M9" i="6"/>
  <c r="O23" i="2"/>
  <c r="N11" i="6"/>
  <c r="N6" i="6"/>
  <c r="P3" i="4"/>
  <c r="I5" i="4"/>
  <c r="H5" i="4"/>
  <c r="G5" i="4"/>
  <c r="F5" i="4"/>
  <c r="E5" i="4"/>
  <c r="P5" i="4"/>
  <c r="C6" i="4"/>
  <c r="D5" i="4"/>
  <c r="F6" i="4"/>
  <c r="G6" i="4"/>
  <c r="H6" i="4"/>
  <c r="I6" i="4"/>
  <c r="J6" i="4"/>
  <c r="K6" i="4"/>
  <c r="N4" i="4"/>
  <c r="M4" i="4"/>
  <c r="L4" i="4"/>
  <c r="K4" i="4"/>
  <c r="J4" i="4"/>
  <c r="I4" i="4"/>
  <c r="H4" i="4"/>
  <c r="G4" i="4"/>
  <c r="F4" i="4"/>
  <c r="P2" i="4"/>
  <c r="F3" i="4"/>
  <c r="D4" i="4"/>
  <c r="E4" i="4"/>
  <c r="C4" i="4"/>
  <c r="P4" i="4"/>
  <c r="N6" i="4"/>
  <c r="M6" i="4"/>
  <c r="L6" i="4"/>
  <c r="E6" i="4"/>
  <c r="C5" i="4"/>
  <c r="D6" i="4"/>
  <c r="N5" i="4"/>
  <c r="N3" i="4"/>
  <c r="M5" i="4"/>
  <c r="L5" i="4"/>
  <c r="K5" i="4"/>
  <c r="J5" i="4"/>
  <c r="C3" i="4"/>
  <c r="D3" i="4"/>
  <c r="E3" i="4"/>
  <c r="G3" i="4"/>
  <c r="H3" i="4"/>
  <c r="I3" i="4"/>
  <c r="J3" i="4"/>
  <c r="K3" i="4"/>
  <c r="L3" i="4"/>
  <c r="M3" i="4"/>
  <c r="O3" i="4"/>
  <c r="B12" i="6"/>
  <c r="J12" i="6"/>
  <c r="L49" i="2"/>
  <c r="O39" i="2"/>
  <c r="G12" i="6"/>
  <c r="H12" i="6"/>
  <c r="I12" i="6"/>
  <c r="C12" i="6"/>
  <c r="D12" i="6"/>
  <c r="L12" i="6"/>
  <c r="E12" i="6"/>
  <c r="G49" i="2"/>
  <c r="J49" i="2"/>
  <c r="I49" i="2"/>
  <c r="H49" i="2"/>
  <c r="M12" i="6"/>
  <c r="K12" i="6"/>
  <c r="F12" i="6"/>
  <c r="K49" i="2"/>
  <c r="C49" i="2"/>
  <c r="N49" i="2"/>
  <c r="F49" i="2"/>
  <c r="M49" i="2"/>
  <c r="E49" i="2"/>
  <c r="D49" i="2"/>
  <c r="N9" i="6"/>
  <c r="N10" i="6"/>
  <c r="O4" i="4"/>
  <c r="O5" i="4"/>
  <c r="E57" i="2"/>
  <c r="G14" i="6"/>
  <c r="G57" i="2"/>
  <c r="I14" i="6"/>
  <c r="K57" i="2"/>
  <c r="M14" i="6"/>
  <c r="H57" i="2"/>
  <c r="J14" i="6"/>
  <c r="L57" i="2"/>
  <c r="B14" i="6"/>
  <c r="M57" i="2"/>
  <c r="C14" i="6"/>
  <c r="F57" i="2"/>
  <c r="H14" i="6"/>
  <c r="I57" i="2"/>
  <c r="K14" i="6"/>
  <c r="D57" i="2"/>
  <c r="F14" i="6"/>
  <c r="N57" i="2"/>
  <c r="D14" i="6"/>
  <c r="J57" i="2"/>
  <c r="L14" i="6"/>
  <c r="C57" i="2"/>
  <c r="E14" i="6"/>
  <c r="N12" i="6"/>
  <c r="O6" i="4"/>
  <c r="R15" i="5"/>
  <c r="P15" i="5"/>
  <c r="R14" i="5"/>
  <c r="R13" i="5"/>
  <c r="R12" i="5"/>
  <c r="P14" i="5"/>
  <c r="P13" i="5"/>
  <c r="P12" i="5"/>
  <c r="S12" i="5"/>
  <c r="S13" i="5"/>
  <c r="S14" i="5"/>
  <c r="E28" i="5"/>
  <c r="S15" i="5"/>
  <c r="G5" i="5"/>
  <c r="S11" i="5"/>
  <c r="E12" i="5"/>
  <c r="D12" i="5"/>
  <c r="I10" i="5"/>
  <c r="G32" i="5"/>
  <c r="G10" i="5"/>
  <c r="F32" i="5"/>
  <c r="G31" i="5"/>
  <c r="F31" i="5"/>
  <c r="G30" i="5"/>
  <c r="F30" i="5"/>
  <c r="I7" i="5"/>
  <c r="G29" i="5"/>
  <c r="G7" i="5"/>
  <c r="F29" i="5"/>
  <c r="G34" i="5"/>
  <c r="G36" i="5"/>
  <c r="I35" i="5"/>
  <c r="I12" i="5"/>
  <c r="G28" i="5"/>
  <c r="E36" i="5"/>
  <c r="D5" i="5"/>
  <c r="D14" i="5"/>
  <c r="D28" i="5"/>
  <c r="D36" i="5"/>
  <c r="E5" i="5"/>
  <c r="T15" i="5"/>
  <c r="G12" i="5"/>
  <c r="G14" i="5"/>
  <c r="I37" i="5"/>
  <c r="I5" i="5"/>
  <c r="I14" i="5"/>
  <c r="E14" i="5"/>
  <c r="O10" i="4"/>
  <c r="O9" i="4"/>
  <c r="B50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O14" i="4"/>
  <c r="O13" i="4"/>
  <c r="H25" i="6"/>
  <c r="J25" i="6"/>
  <c r="M25" i="6"/>
  <c r="L25" i="6"/>
  <c r="I25" i="6"/>
  <c r="K25" i="6"/>
  <c r="G99" i="2"/>
  <c r="G98" i="2"/>
  <c r="G97" i="2"/>
  <c r="G96" i="2"/>
  <c r="G95" i="2"/>
  <c r="G94" i="2"/>
  <c r="O35" i="2"/>
  <c r="O33" i="2"/>
  <c r="O32" i="2"/>
  <c r="D80" i="6"/>
  <c r="C80" i="6"/>
  <c r="B80" i="6"/>
  <c r="M80" i="6"/>
  <c r="L80" i="6"/>
  <c r="K80" i="6"/>
  <c r="J80" i="6"/>
  <c r="I80" i="6"/>
  <c r="H80" i="6"/>
  <c r="G80" i="6"/>
  <c r="F80" i="6"/>
  <c r="E80" i="6"/>
  <c r="D64" i="6"/>
  <c r="C64" i="6"/>
  <c r="B64" i="6"/>
  <c r="M64" i="6"/>
  <c r="L64" i="6"/>
  <c r="K64" i="6"/>
  <c r="J64" i="6"/>
  <c r="I64" i="6"/>
  <c r="H64" i="6"/>
  <c r="G64" i="6"/>
  <c r="F64" i="6"/>
  <c r="E64" i="6"/>
  <c r="D50" i="6"/>
  <c r="C50" i="6"/>
  <c r="B50" i="6"/>
  <c r="M50" i="6"/>
  <c r="L50" i="6"/>
  <c r="K50" i="6"/>
  <c r="J50" i="6"/>
  <c r="I50" i="6"/>
  <c r="H50" i="6"/>
  <c r="G50" i="6"/>
  <c r="F50" i="6"/>
  <c r="E50" i="6"/>
  <c r="D36" i="6"/>
  <c r="C36" i="6"/>
  <c r="B36" i="6"/>
  <c r="M36" i="6"/>
  <c r="L36" i="6"/>
  <c r="K36" i="6"/>
  <c r="J36" i="6"/>
  <c r="I36" i="6"/>
  <c r="H36" i="6"/>
  <c r="G36" i="6"/>
  <c r="F36" i="6"/>
  <c r="E36" i="6"/>
  <c r="O16" i="2"/>
  <c r="U8" i="2"/>
  <c r="O8" i="2"/>
  <c r="O5" i="2"/>
  <c r="P6" i="2"/>
  <c r="N50" i="6"/>
  <c r="N80" i="6"/>
  <c r="O34" i="2"/>
  <c r="G23" i="6"/>
  <c r="K23" i="6"/>
  <c r="C23" i="6"/>
  <c r="H23" i="6"/>
  <c r="J40" i="2"/>
  <c r="L24" i="6"/>
  <c r="L23" i="6"/>
  <c r="D23" i="6"/>
  <c r="E23" i="6"/>
  <c r="M23" i="6"/>
  <c r="N64" i="6"/>
  <c r="K82" i="6"/>
  <c r="K52" i="6"/>
  <c r="L82" i="6"/>
  <c r="L52" i="6"/>
  <c r="J82" i="6"/>
  <c r="J52" i="6"/>
  <c r="I23" i="6"/>
  <c r="N36" i="6"/>
  <c r="F23" i="6"/>
  <c r="J23" i="6"/>
  <c r="B23" i="6"/>
  <c r="N25" i="6"/>
  <c r="I82" i="6"/>
  <c r="I52" i="6"/>
  <c r="M82" i="6"/>
  <c r="M52" i="6"/>
  <c r="H52" i="6"/>
  <c r="E41" i="2"/>
  <c r="G37" i="6"/>
  <c r="G39" i="6"/>
  <c r="M41" i="2"/>
  <c r="F41" i="2"/>
  <c r="N41" i="2"/>
  <c r="D51" i="6"/>
  <c r="D53" i="6"/>
  <c r="J43" i="2"/>
  <c r="J42" i="2"/>
  <c r="G42" i="2"/>
  <c r="C43" i="2"/>
  <c r="G43" i="2"/>
  <c r="K43" i="2"/>
  <c r="F42" i="2"/>
  <c r="D42" i="2"/>
  <c r="H42" i="2"/>
  <c r="L42" i="2"/>
  <c r="D43" i="2"/>
  <c r="H43" i="2"/>
  <c r="L43" i="2"/>
  <c r="E42" i="2"/>
  <c r="I42" i="2"/>
  <c r="M42" i="2"/>
  <c r="E43" i="2"/>
  <c r="I43" i="2"/>
  <c r="M43" i="2"/>
  <c r="O24" i="2"/>
  <c r="K40" i="2"/>
  <c r="M24" i="6"/>
  <c r="O26" i="2"/>
  <c r="E40" i="2"/>
  <c r="G24" i="6"/>
  <c r="I40" i="2"/>
  <c r="K24" i="6"/>
  <c r="M40" i="2"/>
  <c r="C24" i="6"/>
  <c r="D41" i="2"/>
  <c r="H41" i="2"/>
  <c r="J37" i="6"/>
  <c r="J39" i="6"/>
  <c r="L41" i="2"/>
  <c r="F40" i="2"/>
  <c r="H24" i="6"/>
  <c r="N40" i="2"/>
  <c r="D24" i="6"/>
  <c r="I41" i="2"/>
  <c r="K37" i="6"/>
  <c r="K39" i="6"/>
  <c r="O27" i="2"/>
  <c r="C40" i="2"/>
  <c r="E24" i="6"/>
  <c r="O28" i="2"/>
  <c r="G40" i="2"/>
  <c r="I24" i="6"/>
  <c r="J41" i="2"/>
  <c r="O25" i="2"/>
  <c r="D40" i="2"/>
  <c r="F24" i="6"/>
  <c r="H40" i="2"/>
  <c r="J24" i="6"/>
  <c r="L40" i="2"/>
  <c r="B24" i="6"/>
  <c r="C41" i="2"/>
  <c r="G41" i="2"/>
  <c r="I37" i="6"/>
  <c r="I39" i="6"/>
  <c r="K41" i="2"/>
  <c r="C42" i="2"/>
  <c r="K42" i="2"/>
  <c r="M51" i="6"/>
  <c r="F43" i="2"/>
  <c r="N43" i="2"/>
  <c r="S21" i="1"/>
  <c r="S22" i="1"/>
  <c r="N52" i="6"/>
  <c r="L26" i="6"/>
  <c r="M53" i="6"/>
  <c r="E51" i="2"/>
  <c r="J50" i="2"/>
  <c r="C52" i="2"/>
  <c r="E51" i="6"/>
  <c r="F53" i="2"/>
  <c r="H65" i="6"/>
  <c r="H67" i="6"/>
  <c r="C51" i="2"/>
  <c r="E37" i="6"/>
  <c r="N24" i="6"/>
  <c r="E53" i="2"/>
  <c r="G65" i="6"/>
  <c r="G67" i="6"/>
  <c r="L53" i="2"/>
  <c r="B65" i="6"/>
  <c r="B67" i="6"/>
  <c r="H52" i="2"/>
  <c r="J51" i="6"/>
  <c r="J53" i="6"/>
  <c r="G53" i="2"/>
  <c r="I65" i="6"/>
  <c r="I67" i="6"/>
  <c r="J53" i="2"/>
  <c r="L65" i="6"/>
  <c r="L67" i="6"/>
  <c r="M51" i="2"/>
  <c r="C37" i="6"/>
  <c r="C39" i="6"/>
  <c r="E54" i="2"/>
  <c r="G81" i="6"/>
  <c r="G83" i="6"/>
  <c r="K54" i="2"/>
  <c r="K62" i="2"/>
  <c r="M81" i="6"/>
  <c r="M83" i="6"/>
  <c r="J54" i="2"/>
  <c r="L81" i="6"/>
  <c r="L83" i="6"/>
  <c r="H50" i="2"/>
  <c r="I26" i="6"/>
  <c r="K50" i="2"/>
  <c r="N50" i="2"/>
  <c r="I50" i="2"/>
  <c r="L51" i="2"/>
  <c r="B37" i="6"/>
  <c r="B39" i="6"/>
  <c r="H53" i="2"/>
  <c r="J65" i="6"/>
  <c r="J67" i="6"/>
  <c r="D52" i="2"/>
  <c r="F51" i="6"/>
  <c r="F53" i="6"/>
  <c r="C53" i="2"/>
  <c r="C61" i="2"/>
  <c r="E65" i="6"/>
  <c r="L54" i="2"/>
  <c r="B81" i="6"/>
  <c r="G54" i="2"/>
  <c r="I81" i="6"/>
  <c r="I83" i="6"/>
  <c r="F54" i="2"/>
  <c r="H81" i="6"/>
  <c r="J26" i="6"/>
  <c r="M26" i="6"/>
  <c r="D26" i="6"/>
  <c r="F50" i="2"/>
  <c r="K26" i="6"/>
  <c r="I54" i="2"/>
  <c r="K81" i="6"/>
  <c r="K83" i="6"/>
  <c r="J51" i="2"/>
  <c r="L37" i="6"/>
  <c r="L39" i="6"/>
  <c r="M52" i="2"/>
  <c r="C51" i="6"/>
  <c r="C53" i="6"/>
  <c r="N53" i="2"/>
  <c r="D65" i="6"/>
  <c r="D67" i="6"/>
  <c r="K51" i="2"/>
  <c r="M37" i="6"/>
  <c r="M39" i="6"/>
  <c r="M53" i="2"/>
  <c r="C65" i="6"/>
  <c r="C67" i="6"/>
  <c r="I52" i="2"/>
  <c r="K51" i="6"/>
  <c r="K53" i="6"/>
  <c r="D53" i="2"/>
  <c r="F65" i="6"/>
  <c r="F67" i="6"/>
  <c r="F52" i="2"/>
  <c r="H51" i="6"/>
  <c r="H53" i="6"/>
  <c r="G52" i="2"/>
  <c r="I51" i="6"/>
  <c r="I53" i="6"/>
  <c r="N51" i="2"/>
  <c r="D37" i="6"/>
  <c r="D39" i="6"/>
  <c r="H54" i="2"/>
  <c r="J81" i="6"/>
  <c r="J83" i="6"/>
  <c r="C54" i="2"/>
  <c r="E81" i="6"/>
  <c r="L50" i="2"/>
  <c r="D50" i="2"/>
  <c r="C50" i="2"/>
  <c r="H26" i="6"/>
  <c r="M50" i="2"/>
  <c r="E50" i="2"/>
  <c r="D51" i="2"/>
  <c r="F37" i="6"/>
  <c r="F39" i="6"/>
  <c r="I53" i="2"/>
  <c r="K65" i="6"/>
  <c r="K67" i="6"/>
  <c r="E52" i="2"/>
  <c r="G51" i="6"/>
  <c r="G53" i="6"/>
  <c r="L52" i="2"/>
  <c r="B51" i="6"/>
  <c r="K53" i="2"/>
  <c r="M65" i="6"/>
  <c r="M67" i="6"/>
  <c r="J52" i="2"/>
  <c r="L51" i="6"/>
  <c r="L53" i="6"/>
  <c r="F51" i="2"/>
  <c r="H37" i="6"/>
  <c r="H39" i="6"/>
  <c r="M54" i="2"/>
  <c r="C81" i="6"/>
  <c r="C83" i="6"/>
  <c r="D54" i="2"/>
  <c r="F81" i="6"/>
  <c r="F83" i="6"/>
  <c r="N54" i="2"/>
  <c r="D81" i="6"/>
  <c r="D83" i="6"/>
  <c r="H82" i="6"/>
  <c r="N82" i="6"/>
  <c r="O36" i="2"/>
  <c r="B26" i="6"/>
  <c r="F26" i="6"/>
  <c r="G50" i="2"/>
  <c r="E26" i="6"/>
  <c r="N23" i="6"/>
  <c r="C26" i="6"/>
  <c r="G26" i="6"/>
  <c r="D54" i="6"/>
  <c r="K52" i="2"/>
  <c r="K60" i="2"/>
  <c r="G51" i="2"/>
  <c r="I51" i="2"/>
  <c r="H51" i="2"/>
  <c r="N20" i="6"/>
  <c r="O44" i="2"/>
  <c r="O42" i="2"/>
  <c r="K73" i="2"/>
  <c r="L73" i="2"/>
  <c r="M73" i="2"/>
  <c r="N73" i="2"/>
  <c r="O43" i="2"/>
  <c r="E68" i="6"/>
  <c r="O40" i="2"/>
  <c r="O41" i="2"/>
  <c r="S19" i="1"/>
  <c r="T22" i="1"/>
  <c r="U22" i="1"/>
  <c r="V22" i="1"/>
  <c r="T21" i="1"/>
  <c r="U21" i="1"/>
  <c r="V21" i="1"/>
  <c r="W23" i="1"/>
  <c r="S23" i="1"/>
  <c r="T19" i="1"/>
  <c r="U19" i="1"/>
  <c r="V19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2" i="1"/>
  <c r="C21" i="1"/>
  <c r="C23" i="1"/>
  <c r="D21" i="1"/>
  <c r="E21" i="1"/>
  <c r="F21" i="1"/>
  <c r="G21" i="1"/>
  <c r="G23" i="1"/>
  <c r="H21" i="1"/>
  <c r="I21" i="1"/>
  <c r="J21" i="1"/>
  <c r="K21" i="1"/>
  <c r="K23" i="1"/>
  <c r="L21" i="1"/>
  <c r="L25" i="1"/>
  <c r="L27" i="1"/>
  <c r="M21" i="1"/>
  <c r="N21" i="1"/>
  <c r="O21" i="1"/>
  <c r="O23" i="1"/>
  <c r="B21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19" i="1"/>
  <c r="H59" i="2"/>
  <c r="J40" i="6"/>
  <c r="F62" i="2"/>
  <c r="H84" i="6"/>
  <c r="L62" i="2"/>
  <c r="B84" i="6"/>
  <c r="D60" i="2"/>
  <c r="F54" i="6"/>
  <c r="L59" i="2"/>
  <c r="B40" i="6"/>
  <c r="F61" i="2"/>
  <c r="H68" i="6"/>
  <c r="E59" i="2"/>
  <c r="G40" i="6"/>
  <c r="G58" i="2"/>
  <c r="I27" i="6"/>
  <c r="D62" i="2"/>
  <c r="F84" i="6"/>
  <c r="F59" i="2"/>
  <c r="H40" i="6"/>
  <c r="K61" i="2"/>
  <c r="M68" i="6"/>
  <c r="E60" i="2"/>
  <c r="G54" i="6"/>
  <c r="D59" i="2"/>
  <c r="F40" i="6"/>
  <c r="N59" i="2"/>
  <c r="D40" i="6"/>
  <c r="F60" i="2"/>
  <c r="H54" i="6"/>
  <c r="I60" i="2"/>
  <c r="K54" i="6"/>
  <c r="K59" i="2"/>
  <c r="M40" i="6"/>
  <c r="M60" i="2"/>
  <c r="C54" i="6"/>
  <c r="I62" i="2"/>
  <c r="K84" i="6"/>
  <c r="I58" i="2"/>
  <c r="K27" i="6"/>
  <c r="H58" i="2"/>
  <c r="J27" i="6"/>
  <c r="M59" i="2"/>
  <c r="C40" i="6"/>
  <c r="G61" i="2"/>
  <c r="I68" i="6"/>
  <c r="L61" i="2"/>
  <c r="B68" i="6"/>
  <c r="I59" i="2"/>
  <c r="K40" i="6"/>
  <c r="G59" i="2"/>
  <c r="I40" i="6"/>
  <c r="E58" i="2"/>
  <c r="G27" i="6"/>
  <c r="D58" i="2"/>
  <c r="F27" i="6"/>
  <c r="G62" i="2"/>
  <c r="I84" i="6"/>
  <c r="H61" i="2"/>
  <c r="J68" i="6"/>
  <c r="N58" i="2"/>
  <c r="D27" i="6"/>
  <c r="N62" i="2"/>
  <c r="D84" i="6"/>
  <c r="M62" i="2"/>
  <c r="C84" i="6"/>
  <c r="J60" i="2"/>
  <c r="L54" i="6"/>
  <c r="L60" i="2"/>
  <c r="B54" i="6"/>
  <c r="I61" i="2"/>
  <c r="K68" i="6"/>
  <c r="M58" i="2"/>
  <c r="C27" i="6"/>
  <c r="L58" i="2"/>
  <c r="B27" i="6"/>
  <c r="H62" i="2"/>
  <c r="J84" i="6"/>
  <c r="G60" i="2"/>
  <c r="I54" i="6"/>
  <c r="D61" i="2"/>
  <c r="F68" i="6"/>
  <c r="M61" i="2"/>
  <c r="C68" i="6"/>
  <c r="N61" i="2"/>
  <c r="D68" i="6"/>
  <c r="J59" i="2"/>
  <c r="L40" i="6"/>
  <c r="F58" i="2"/>
  <c r="H27" i="6"/>
  <c r="K58" i="2"/>
  <c r="M27" i="6"/>
  <c r="J62" i="2"/>
  <c r="L84" i="6"/>
  <c r="E62" i="2"/>
  <c r="G84" i="6"/>
  <c r="J61" i="2"/>
  <c r="L68" i="6"/>
  <c r="H60" i="2"/>
  <c r="J54" i="6"/>
  <c r="E61" i="2"/>
  <c r="G68" i="6"/>
  <c r="J58" i="2"/>
  <c r="L27" i="6"/>
  <c r="C58" i="2"/>
  <c r="E27" i="6"/>
  <c r="C62" i="2"/>
  <c r="E84" i="6"/>
  <c r="C59" i="2"/>
  <c r="E40" i="6"/>
  <c r="C60" i="2"/>
  <c r="E54" i="6"/>
  <c r="B83" i="6"/>
  <c r="N81" i="6"/>
  <c r="B53" i="6"/>
  <c r="N51" i="6"/>
  <c r="O53" i="2"/>
  <c r="K74" i="2"/>
  <c r="K77" i="2"/>
  <c r="O54" i="2"/>
  <c r="K75" i="2"/>
  <c r="L75" i="2"/>
  <c r="M75" i="2"/>
  <c r="N75" i="2"/>
  <c r="C75" i="2"/>
  <c r="D75" i="2"/>
  <c r="E75" i="2"/>
  <c r="F75" i="2"/>
  <c r="G75" i="2"/>
  <c r="H75" i="2"/>
  <c r="I75" i="2"/>
  <c r="J75" i="2"/>
  <c r="J84" i="2"/>
  <c r="H83" i="6"/>
  <c r="N26" i="6"/>
  <c r="E83" i="6"/>
  <c r="N65" i="6"/>
  <c r="E67" i="6"/>
  <c r="N67" i="6"/>
  <c r="M84" i="6"/>
  <c r="K78" i="2"/>
  <c r="L78" i="2"/>
  <c r="M78" i="2"/>
  <c r="N78" i="2"/>
  <c r="C78" i="2"/>
  <c r="D78" i="2"/>
  <c r="E78" i="2"/>
  <c r="F78" i="2"/>
  <c r="G78" i="2"/>
  <c r="H78" i="2"/>
  <c r="I78" i="2"/>
  <c r="J78" i="2"/>
  <c r="J87" i="2"/>
  <c r="N37" i="6"/>
  <c r="E39" i="6"/>
  <c r="N39" i="6"/>
  <c r="E53" i="6"/>
  <c r="K76" i="2"/>
  <c r="O51" i="2"/>
  <c r="B23" i="1"/>
  <c r="H23" i="1"/>
  <c r="L23" i="1"/>
  <c r="D23" i="1"/>
  <c r="C67" i="2"/>
  <c r="D67" i="2"/>
  <c r="E67" i="2"/>
  <c r="F67" i="2"/>
  <c r="G67" i="2"/>
  <c r="H67" i="2"/>
  <c r="I67" i="2"/>
  <c r="J67" i="2"/>
  <c r="K67" i="2"/>
  <c r="O49" i="2"/>
  <c r="C69" i="2"/>
  <c r="D69" i="2"/>
  <c r="E69" i="2"/>
  <c r="F69" i="2"/>
  <c r="G69" i="2"/>
  <c r="H69" i="2"/>
  <c r="I69" i="2"/>
  <c r="J69" i="2"/>
  <c r="K69" i="2"/>
  <c r="O52" i="2"/>
  <c r="O50" i="2"/>
  <c r="C70" i="2"/>
  <c r="D70" i="2"/>
  <c r="E70" i="2"/>
  <c r="F70" i="2"/>
  <c r="G70" i="2"/>
  <c r="H70" i="2"/>
  <c r="I70" i="2"/>
  <c r="J70" i="2"/>
  <c r="K70" i="2"/>
  <c r="V23" i="1"/>
  <c r="N23" i="1"/>
  <c r="J23" i="1"/>
  <c r="F23" i="1"/>
  <c r="U23" i="1"/>
  <c r="M23" i="1"/>
  <c r="I23" i="1"/>
  <c r="E23" i="1"/>
  <c r="T23" i="1"/>
  <c r="L74" i="2"/>
  <c r="M74" i="2"/>
  <c r="L77" i="2"/>
  <c r="M103" i="6"/>
  <c r="N53" i="6"/>
  <c r="N83" i="6"/>
  <c r="L70" i="2"/>
  <c r="M70" i="2"/>
  <c r="N70" i="2"/>
  <c r="M85" i="6"/>
  <c r="F87" i="2"/>
  <c r="I86" i="6"/>
  <c r="L76" i="2"/>
  <c r="M76" i="2"/>
  <c r="N76" i="2"/>
  <c r="C76" i="2"/>
  <c r="D76" i="2"/>
  <c r="E76" i="2"/>
  <c r="F76" i="2"/>
  <c r="G76" i="2"/>
  <c r="H76" i="2"/>
  <c r="I76" i="2"/>
  <c r="J76" i="2"/>
  <c r="J85" i="2"/>
  <c r="M54" i="6"/>
  <c r="L69" i="2"/>
  <c r="M69" i="2"/>
  <c r="N69" i="2"/>
  <c r="M69" i="6"/>
  <c r="F86" i="2"/>
  <c r="L67" i="2"/>
  <c r="M67" i="2"/>
  <c r="N67" i="2"/>
  <c r="M41" i="6"/>
  <c r="F84" i="2"/>
  <c r="I42" i="6"/>
  <c r="C66" i="2"/>
  <c r="D66" i="2"/>
  <c r="E66" i="2"/>
  <c r="F66" i="2"/>
  <c r="G66" i="2"/>
  <c r="H66" i="2"/>
  <c r="I66" i="2"/>
  <c r="J66" i="2"/>
  <c r="K66" i="2"/>
  <c r="C68" i="2"/>
  <c r="D68" i="2"/>
  <c r="E68" i="2"/>
  <c r="F68" i="2"/>
  <c r="G68" i="2"/>
  <c r="H68" i="2"/>
  <c r="I68" i="2"/>
  <c r="J68" i="2"/>
  <c r="K68" i="2"/>
  <c r="C73" i="2"/>
  <c r="D73" i="2"/>
  <c r="E73" i="2"/>
  <c r="F73" i="2"/>
  <c r="G73" i="2"/>
  <c r="H73" i="2"/>
  <c r="I73" i="2"/>
  <c r="J73" i="2"/>
  <c r="J82" i="2"/>
  <c r="C65" i="2"/>
  <c r="D65" i="2"/>
  <c r="E65" i="2"/>
  <c r="F65" i="2"/>
  <c r="G65" i="2"/>
  <c r="H65" i="2"/>
  <c r="I65" i="2"/>
  <c r="J65" i="2"/>
  <c r="M77" i="2"/>
  <c r="B103" i="6"/>
  <c r="M87" i="2"/>
  <c r="N87" i="2"/>
  <c r="M84" i="2"/>
  <c r="L66" i="2"/>
  <c r="M66" i="2"/>
  <c r="N66" i="2"/>
  <c r="M28" i="6"/>
  <c r="F83" i="2"/>
  <c r="I56" i="6"/>
  <c r="L68" i="2"/>
  <c r="M68" i="2"/>
  <c r="N68" i="2"/>
  <c r="M55" i="6"/>
  <c r="F85" i="2"/>
  <c r="I16" i="6"/>
  <c r="N74" i="2"/>
  <c r="K65" i="2"/>
  <c r="F82" i="2"/>
  <c r="N77" i="2"/>
  <c r="C103" i="6"/>
  <c r="M85" i="2"/>
  <c r="N85" i="2"/>
  <c r="L65" i="2"/>
  <c r="M65" i="2"/>
  <c r="N65" i="2"/>
  <c r="M15" i="6"/>
  <c r="C74" i="2"/>
  <c r="M82" i="2"/>
  <c r="C77" i="2"/>
  <c r="D103" i="6"/>
  <c r="D74" i="2"/>
  <c r="D77" i="2"/>
  <c r="E103" i="6"/>
  <c r="E74" i="2"/>
  <c r="E77" i="2"/>
  <c r="F103" i="6"/>
  <c r="F74" i="2"/>
  <c r="F77" i="2"/>
  <c r="G103" i="6"/>
  <c r="G74" i="2"/>
  <c r="G77" i="2"/>
  <c r="H103" i="6"/>
  <c r="I29" i="6"/>
  <c r="H74" i="2"/>
  <c r="I74" i="2"/>
  <c r="J74" i="2"/>
  <c r="J83" i="2"/>
  <c r="M83" i="2"/>
  <c r="I70" i="6"/>
  <c r="H77" i="2"/>
  <c r="I103" i="6"/>
  <c r="N83" i="2"/>
  <c r="I77" i="2"/>
  <c r="J103" i="6"/>
  <c r="J77" i="2"/>
  <c r="K103" i="6"/>
  <c r="J86" i="2"/>
  <c r="M86" i="2"/>
  <c r="L103" i="6"/>
</calcChain>
</file>

<file path=xl/sharedStrings.xml><?xml version="1.0" encoding="utf-8"?>
<sst xmlns="http://schemas.openxmlformats.org/spreadsheetml/2006/main" count="996" uniqueCount="397">
  <si>
    <t>Wasserüberschuss</t>
  </si>
  <si>
    <t>V0a 2011 (trocken)</t>
  </si>
  <si>
    <t>V0a Mittel</t>
  </si>
  <si>
    <t>V0b 2041 (trocken)</t>
  </si>
  <si>
    <t>V0b Mittel</t>
  </si>
  <si>
    <t>V1a 2041 (trocken)</t>
  </si>
  <si>
    <t>V1a Mittel</t>
  </si>
  <si>
    <t>V1b 2041 (trocken)</t>
  </si>
  <si>
    <t>V1b Mittel</t>
  </si>
  <si>
    <t>V2 2041 (trocken)</t>
  </si>
  <si>
    <t>V2 Mittel</t>
  </si>
  <si>
    <t>V3 2041 (trocken)</t>
  </si>
  <si>
    <t>V3 Mittel</t>
  </si>
  <si>
    <t>V4 2041 (trocken)</t>
  </si>
  <si>
    <t>V4 Mittel</t>
  </si>
  <si>
    <t>Jahr</t>
  </si>
  <si>
    <t>Kontrollperiode (ohne Aenderugen)</t>
  </si>
  <si>
    <t>Kontrollperiode (nur CC, ohne sozio-ökon. Aenderugen)</t>
  </si>
  <si>
    <t>Defizite total</t>
  </si>
  <si>
    <t>Daten</t>
  </si>
  <si>
    <t>Daten Martina</t>
  </si>
  <si>
    <t>Qsim</t>
  </si>
  <si>
    <t>Ressourcen</t>
  </si>
  <si>
    <t>Monat</t>
  </si>
  <si>
    <t>Defizite Winter (Jan-März; Nov-Dez)</t>
  </si>
  <si>
    <t>Mittel Zukunft</t>
  </si>
  <si>
    <t>2011 (trocken)</t>
  </si>
  <si>
    <t>2041 (trocken)</t>
  </si>
  <si>
    <t>Mittel
 (2007-2011)</t>
  </si>
  <si>
    <t>alles in m3</t>
  </si>
  <si>
    <t>Ostgebiete (Ertense bis Tièche (dh. ohne Lienne))</t>
  </si>
  <si>
    <t>MontanAqua Ostgebiete (Ertense bis Tièche (dh. ohne Lienne))</t>
  </si>
  <si>
    <t>BS/13.10.2014</t>
  </si>
  <si>
    <t>Wachstum - steigende Bevölk.zahl</t>
  </si>
  <si>
    <t>Wachstum - stabile Bevölk.zahl</t>
  </si>
  <si>
    <r>
      <rPr>
        <b/>
        <sz val="11"/>
        <color theme="1"/>
        <rFont val="Calibri"/>
        <family val="2"/>
        <scheme val="minor"/>
      </rPr>
      <t>Vision RegiEau</t>
    </r>
    <r>
      <rPr>
        <sz val="11"/>
        <color theme="1"/>
        <rFont val="Calibri"/>
        <family val="2"/>
        <scheme val="minor"/>
      </rPr>
      <t xml:space="preserve"> zw. Stabil. Und Mässig.</t>
    </r>
  </si>
  <si>
    <r>
      <rPr>
        <b/>
        <sz val="11"/>
        <color theme="1"/>
        <rFont val="Calibri"/>
        <family val="2"/>
        <scheme val="minor"/>
      </rPr>
      <t>Stabilisierg</t>
    </r>
    <r>
      <rPr>
        <sz val="11"/>
        <color theme="1"/>
        <rFont val="Calibri"/>
        <family val="2"/>
        <scheme val="minor"/>
      </rPr>
      <t xml:space="preserve"> - mäss.Bev.wachs. So-Wi ausgeglich. Landw. gleich</t>
    </r>
  </si>
  <si>
    <r>
      <rPr>
        <b/>
        <sz val="11"/>
        <color theme="1"/>
        <rFont val="Calibri"/>
        <family val="2"/>
        <scheme val="minor"/>
      </rPr>
      <t>Mässigung</t>
    </r>
    <r>
      <rPr>
        <sz val="11"/>
        <color theme="1"/>
        <rFont val="Calibri"/>
        <family val="2"/>
        <scheme val="minor"/>
      </rPr>
      <t xml:space="preserve"> - weniger Bevölk. Sanft. Tourism.  Restw. X2</t>
    </r>
  </si>
  <si>
    <t>Montana</t>
  </si>
  <si>
    <t>Zeitperiode</t>
  </si>
  <si>
    <t>Jan</t>
  </si>
  <si>
    <t>Feb</t>
  </si>
  <si>
    <t>März</t>
  </si>
  <si>
    <t>April</t>
  </si>
  <si>
    <t>Mai</t>
  </si>
  <si>
    <t>Juni</t>
  </si>
  <si>
    <t>Juli</t>
  </si>
  <si>
    <t>Aug</t>
  </si>
  <si>
    <t>Sept</t>
  </si>
  <si>
    <t>Okt</t>
  </si>
  <si>
    <t>Nov</t>
  </si>
  <si>
    <t>Dez</t>
  </si>
  <si>
    <t>Jährlich</t>
  </si>
  <si>
    <t>Prognose</t>
  </si>
  <si>
    <t>Quellen</t>
  </si>
  <si>
    <t>Mio.m3</t>
  </si>
  <si>
    <t>DARGEBOT</t>
  </si>
  <si>
    <t>Schneekanonen</t>
  </si>
  <si>
    <t>Mittel 1980 - 2009</t>
  </si>
  <si>
    <t xml:space="preserve">l/min  </t>
  </si>
  <si>
    <t>Trocken 2003</t>
  </si>
  <si>
    <t>h</t>
  </si>
  <si>
    <t>Mittel 2035 -2065</t>
  </si>
  <si>
    <t>Trocken 2035 - 2065</t>
  </si>
  <si>
    <t>Mittel 2065 - 2100</t>
  </si>
  <si>
    <t>Trocken 2065 - 2100</t>
  </si>
  <si>
    <t>BEDARF</t>
  </si>
  <si>
    <t>Trinkwasser</t>
  </si>
  <si>
    <t>Monatlicher Bedarf</t>
  </si>
  <si>
    <t>Bewässerung</t>
  </si>
  <si>
    <t>Übrige Industrie und Gewerbe</t>
  </si>
  <si>
    <t>Annahme: = Bedarf Trinkwasser</t>
  </si>
  <si>
    <t>TOTAL BEDARF</t>
  </si>
  <si>
    <t>Mittel 2050</t>
  </si>
  <si>
    <t>Trockenjahr 2050</t>
  </si>
  <si>
    <t>Mittel 2085</t>
  </si>
  <si>
    <t>Trockenjahr 2085</t>
  </si>
  <si>
    <t>MONATLICHE BILANZ ABFLUSS - BEDARF</t>
  </si>
  <si>
    <t>KUMULIERTES DEFIZIT</t>
  </si>
  <si>
    <t>KUMULIERTES LAGERUNGS-POTENTIAL</t>
  </si>
  <si>
    <t>VERGLEICH KUMULIERTES DEFIZIT ZU LAGERUNGS-POTENTIAL</t>
  </si>
  <si>
    <t>Kumuliertes Defizit</t>
  </si>
  <si>
    <t>Kumul. Lagerungs-Potential</t>
  </si>
  <si>
    <t>Differenz</t>
  </si>
  <si>
    <t>in %</t>
  </si>
  <si>
    <t>absolut</t>
  </si>
  <si>
    <t>SPEICHER-MÖGLICHKEITEN - ALTERNATIVE STRATEGIEN</t>
  </si>
  <si>
    <t>ANNAHMEN VERBRAUCH</t>
  </si>
  <si>
    <t>Einwohner</t>
  </si>
  <si>
    <t>Norm. Verb.</t>
  </si>
  <si>
    <t>Sommer (Juni-Sept)</t>
  </si>
  <si>
    <t>Mittel</t>
  </si>
  <si>
    <t>Bauwerk</t>
  </si>
  <si>
    <t>Lac de Chermignon</t>
  </si>
  <si>
    <t>Lac d'Icogne</t>
  </si>
  <si>
    <t>Lac Grenon</t>
  </si>
  <si>
    <t>Lac de la Moubra</t>
  </si>
  <si>
    <t>Etang Long</t>
  </si>
  <si>
    <t>Etang Balnc</t>
  </si>
  <si>
    <t>Lac de Combuissant</t>
  </si>
  <si>
    <t>Etang d'Ycoor</t>
  </si>
  <si>
    <t>Lac de Miriouge</t>
  </si>
  <si>
    <t>Lac Louché</t>
  </si>
  <si>
    <t>Lac Zeuzier</t>
  </si>
  <si>
    <t>MüM</t>
  </si>
  <si>
    <t>Volumen</t>
  </si>
  <si>
    <t>Gemeinde</t>
  </si>
  <si>
    <t>Zweck</t>
  </si>
  <si>
    <t>Lens</t>
  </si>
  <si>
    <t>TW</t>
  </si>
  <si>
    <t>BW</t>
  </si>
  <si>
    <t>Freizeit, Biotop</t>
  </si>
  <si>
    <t>FB</t>
  </si>
  <si>
    <t>Künstliche Beschneiung</t>
  </si>
  <si>
    <t>KB</t>
  </si>
  <si>
    <t>TW, BW, KB</t>
  </si>
  <si>
    <t>TW, BW</t>
  </si>
  <si>
    <t>Chermignon</t>
  </si>
  <si>
    <t>Chermignon, Lens</t>
  </si>
  <si>
    <t>TW, FB</t>
  </si>
  <si>
    <t>UNIL. Bonriposi, 2013</t>
  </si>
  <si>
    <t>2010 = Mittel</t>
  </si>
  <si>
    <t>2011 = Trocken</t>
  </si>
  <si>
    <t>Suonen-Abflussmengen total</t>
  </si>
  <si>
    <t>Ø</t>
  </si>
  <si>
    <t xml:space="preserve">Bonriposi, 2013: Tab.4.22, Tab.4.23 </t>
  </si>
  <si>
    <t>Bonriposi, 2013: Fig.4.30, Tab.4.23</t>
  </si>
  <si>
    <t>Mittel 2010 - 2011</t>
  </si>
  <si>
    <t>Zufluss Stausee Zeuzier</t>
  </si>
  <si>
    <t>Total</t>
  </si>
  <si>
    <t>Bonriposi, 2013: Fig. 4.45</t>
  </si>
  <si>
    <t>Bonriposi, 2013: Fig. 4.26</t>
  </si>
  <si>
    <t>Szenario WaterStorage.ch Trocken 2090 Sommer -25 % Winter -20 %</t>
  </si>
  <si>
    <t>Szenario WaterStorage.ch 2090:</t>
  </si>
  <si>
    <t>Golf</t>
  </si>
  <si>
    <t>Schnee</t>
  </si>
  <si>
    <t>aktuell min</t>
  </si>
  <si>
    <t>aktulle max</t>
  </si>
  <si>
    <t>Mio. m3</t>
  </si>
  <si>
    <t>Ohne HydroP</t>
  </si>
  <si>
    <t>Verfügbar</t>
  </si>
  <si>
    <t>TW (inkl.Garten, Pools)</t>
  </si>
  <si>
    <t>Bemerkungen:</t>
  </si>
  <si>
    <t>Zahlen aus MontanAqua Forschungsbericht 2014</t>
  </si>
  <si>
    <t>Aktuelle max. Bewässerung Abschätzung 2003</t>
  </si>
  <si>
    <t>Aktuelle max. Golf eigene Schätzung analog Mehrverbrauch Bewässerung</t>
  </si>
  <si>
    <t>Winter</t>
  </si>
  <si>
    <t>(Oktober–März)</t>
  </si>
  <si>
    <t>Sommer</t>
  </si>
  <si>
    <t>(April–September)</t>
  </si>
  <si>
    <t xml:space="preserve"> Jahr</t>
  </si>
  <si>
    <t>Mittelwert 2007–2011</t>
  </si>
  <si>
    <t>Veränderung 2037–2041 im Vergleich zu 2007–2011 (in %)</t>
  </si>
  <si>
    <t>2007 – feuchtes Jahr</t>
  </si>
  <si>
    <t>2010 – normales Jahr</t>
  </si>
  <si>
    <t>Mittelwerte 2037–2041</t>
  </si>
  <si>
    <t>(2041)</t>
  </si>
  <si>
    <t>2011 – trockenes Jahr</t>
  </si>
  <si>
    <t>Verfügbar für HydroPower</t>
  </si>
  <si>
    <t>Restwasser</t>
  </si>
  <si>
    <t>Durchschnittlicher Bewässerungsbedarf 1980 - 2011</t>
  </si>
  <si>
    <t>Verfügbar 2090: 107 Mio.m3 minus 10 bis 18 Mio. m3 (Schmelzwasser Pleine Morte). Hängt von Fliessrichtung N-S nach Verschwinden von Gletscher ab.</t>
  </si>
  <si>
    <t>Abfluss Pleine Morte</t>
  </si>
  <si>
    <t>1961-1990</t>
  </si>
  <si>
    <t>Huss, 2013, Fig.7</t>
  </si>
  <si>
    <t>Abfluss Ostgebiete</t>
  </si>
  <si>
    <t>Mittel 2007-2011</t>
  </si>
  <si>
    <t>Berechnet</t>
  </si>
  <si>
    <t>2013_KtVS-Demografische Perspektiven</t>
  </si>
  <si>
    <t>plus</t>
  </si>
  <si>
    <t>Communes</t>
  </si>
  <si>
    <t>Icogne</t>
  </si>
  <si>
    <t>Miège</t>
  </si>
  <si>
    <t>Mollens</t>
  </si>
  <si>
    <t>Randogne</t>
  </si>
  <si>
    <t>St-Léonard</t>
  </si>
  <si>
    <t>Venthône</t>
  </si>
  <si>
    <t>Veyras</t>
  </si>
  <si>
    <t>Sierre</t>
  </si>
  <si>
    <t>Totale</t>
  </si>
  <si>
    <t>Verbrauch 2010</t>
  </si>
  <si>
    <t>in Zahl. Lens</t>
  </si>
  <si>
    <t>Ø pro EW u Tg.</t>
  </si>
  <si>
    <t>Trocken 2011</t>
  </si>
  <si>
    <t>ABFLUSS</t>
  </si>
  <si>
    <t>Total Bedarf</t>
  </si>
  <si>
    <t>Mtl.Bilanz Abfluss-Bedarf (Ostgebiete)</t>
  </si>
  <si>
    <t>Kumul. Lagerungs-Potential Sept - Mai</t>
  </si>
  <si>
    <t>NFP61 MontanAqua</t>
  </si>
  <si>
    <t>Mittel 2037-2041</t>
  </si>
  <si>
    <t xml:space="preserve">Bonriposi, 2013: </t>
  </si>
  <si>
    <t>Mittel 2007 - 2011</t>
  </si>
  <si>
    <t>Falls weiter alles bewässert</t>
  </si>
  <si>
    <t>Defizite Sommer (Aug-Sept)</t>
  </si>
  <si>
    <t>Total 2050</t>
  </si>
  <si>
    <t>Red.Gletscherzufluss</t>
  </si>
  <si>
    <t>Total 2085</t>
  </si>
  <si>
    <t>Ergänzungen Walter</t>
  </si>
  <si>
    <t>Lac de Tseuzier</t>
  </si>
  <si>
    <t>Lage:</t>
  </si>
  <si>
    <t>Wallis</t>
  </si>
  <si>
    <t>Zuflüsse:</t>
  </si>
  <si>
    <t>diverse Bergbäche</t>
  </si>
  <si>
    <t>Abflüsse:</t>
  </si>
  <si>
    <t>La Liène</t>
  </si>
  <si>
    <t>Größere Orte am Ufer:</t>
  </si>
  <si>
    <t>keine</t>
  </si>
  <si>
    <r>
      <t>Wallis</t>
    </r>
    <r>
      <rPr>
        <sz val="9"/>
        <color theme="1"/>
        <rFont val="Calibri"/>
        <family val="2"/>
        <scheme val="minor"/>
      </rPr>
      <t>, </t>
    </r>
    <r>
      <rPr>
        <sz val="9"/>
        <color rgb="FF0B0080"/>
        <rFont val="Calibri"/>
        <family val="2"/>
        <scheme val="minor"/>
      </rPr>
      <t>Schweiz</t>
    </r>
  </si>
  <si>
    <t>Koordinaten</t>
  </si>
  <si>
    <r>
      <t>♁</t>
    </r>
    <r>
      <rPr>
        <sz val="11"/>
        <color rgb="FF663366"/>
        <rFont val="Arial"/>
        <family val="2"/>
      </rPr>
      <t>599377 / 133272</t>
    </r>
    <r>
      <rPr>
        <sz val="10"/>
        <color rgb="FF000000"/>
        <rFont val="Arial"/>
        <family val="2"/>
      </rPr>
      <t>Koordinaten: </t>
    </r>
    <r>
      <rPr>
        <sz val="10"/>
        <color rgb="FF663366"/>
        <rFont val="Arial"/>
        <family val="2"/>
      </rPr>
      <t>46° 21′ 3″ N, 7° 25′ 50″ O; CH1903: 599377 / 133272</t>
    </r>
    <r>
      <rPr>
        <sz val="10"/>
        <color rgb="FF000000"/>
        <rFont val="Arial"/>
        <family val="2"/>
      </rPr>
      <t> |  | </t>
    </r>
  </si>
  <si>
    <t>Daten zum Bauwerk</t>
  </si>
  <si>
    <t>Sperrentyp:</t>
  </si>
  <si>
    <r>
      <t>Bogenstaumauer</t>
    </r>
    <r>
      <rPr>
        <sz val="11"/>
        <color rgb="FF000000"/>
        <rFont val="Arial"/>
        <family val="2"/>
      </rPr>
      <t> /</t>
    </r>
    <r>
      <rPr>
        <sz val="11"/>
        <color rgb="FF0B0080"/>
        <rFont val="Arial"/>
        <family val="2"/>
      </rPr>
      <t>Erdschüttdamm</t>
    </r>
  </si>
  <si>
    <t>Bauzeit:</t>
  </si>
  <si>
    <t>bis 1957</t>
  </si>
  <si>
    <t>Höhe desAbsperrbauwerks:</t>
  </si>
  <si>
    <t>156 m / 20 m</t>
  </si>
  <si>
    <t>Höhe überGewässersohle:</t>
  </si>
  <si>
    <t>140 m</t>
  </si>
  <si>
    <t>Höhe der Bauwerkskrone:</t>
  </si>
  <si>
    <t>1'777 m ü. M.</t>
  </si>
  <si>
    <t>Bauwerksvolumen:</t>
  </si>
  <si>
    <t>300.000 m³ / 67.000 m³</t>
  </si>
  <si>
    <t>Kronenlänge:</t>
  </si>
  <si>
    <t>256 m / 155 m</t>
  </si>
  <si>
    <t>Betreiber:</t>
  </si>
  <si>
    <t>Electricité de la Lienne SA, Sion</t>
  </si>
  <si>
    <t>Daten zum Stausee</t>
  </si>
  <si>
    <t>Wasseroberfläche</t>
  </si>
  <si>
    <t>85 ha</t>
  </si>
  <si>
    <t>Stauseelänge</t>
  </si>
  <si>
    <t>1,3 km</t>
  </si>
  <si>
    <t>Gesamtstauraum:</t>
  </si>
  <si>
    <t>51 Mio. m³</t>
  </si>
  <si>
    <t>Einzugsgebiet</t>
  </si>
  <si>
    <t>18,7 km²</t>
  </si>
  <si>
    <t>Bemessungshochwasser:</t>
  </si>
  <si>
    <t>60 m³/s</t>
  </si>
  <si>
    <t>Besonderheiten:</t>
  </si>
  <si>
    <t>Bogenstaumauer und Erdschüttdamm nebeneinander</t>
  </si>
  <si>
    <t xml:space="preserve"> </t>
  </si>
  <si>
    <t>Abfluss West (Tseuzier)</t>
  </si>
  <si>
    <t>Ostgebiete Szenario V3 (Mässigung)</t>
  </si>
  <si>
    <t>Doppelter Bewäss.Bedarf gegenüber 2003 oder 2011</t>
  </si>
  <si>
    <t>Bewäss. Zus.2085</t>
  </si>
  <si>
    <t>Def. 2050</t>
  </si>
  <si>
    <t>Def. 2085</t>
  </si>
  <si>
    <t>Tièche</t>
  </si>
  <si>
    <t>m3/sec &gt; Mio.m3/mo</t>
  </si>
  <si>
    <t>Q347</t>
  </si>
  <si>
    <t>Liène</t>
  </si>
  <si>
    <t>l/sec</t>
  </si>
  <si>
    <t>Restwasser-Berechnung</t>
  </si>
  <si>
    <t>m3/mt</t>
  </si>
  <si>
    <t>Restwasser Liène gemäss Tabelle BAFU</t>
  </si>
  <si>
    <t>Restwasser Ost Annahme 80 % von Liène</t>
  </si>
  <si>
    <t>Ende September</t>
  </si>
  <si>
    <t>Existierende Speicher Ostgebiete</t>
  </si>
  <si>
    <t>Restwasser (Natur)</t>
  </si>
  <si>
    <t>Kumul. Defizit Juni - Ende September</t>
  </si>
  <si>
    <t>Mittel 2065-2100</t>
  </si>
  <si>
    <t>Trocken 2065-2100</t>
  </si>
  <si>
    <t>Trockenjahr 2011</t>
  </si>
  <si>
    <t>Bonriposi, 2013: Fig.4.24</t>
  </si>
  <si>
    <t>i.v. mit 2041, Eigene Hypothesen basierend auf NFP61 allgemeinen Prognosen</t>
  </si>
  <si>
    <t>Lac Tseuzier</t>
  </si>
  <si>
    <t>Wasserkraft</t>
  </si>
  <si>
    <t>WK</t>
  </si>
  <si>
    <t>WK, BW</t>
  </si>
  <si>
    <t>Wikipedia</t>
  </si>
  <si>
    <t>do.</t>
  </si>
  <si>
    <t>Tourismus</t>
  </si>
  <si>
    <t>Übernachtungen 2010/2011 in 1'000</t>
  </si>
  <si>
    <t>2041 tr</t>
  </si>
  <si>
    <t>2041 m</t>
  </si>
  <si>
    <t>2011 tr</t>
  </si>
  <si>
    <t>2050 tr</t>
  </si>
  <si>
    <t>1-4 Mittel 2041, 5-12 2041 tr</t>
  </si>
  <si>
    <t>Trocken 2050</t>
  </si>
  <si>
    <t>M Kauzlaric</t>
  </si>
  <si>
    <t>M Kauzlaric, Mt Jan bis April Daten von Mittel 2041 (tiefer)</t>
  </si>
  <si>
    <t>Bonriposi, 2013</t>
  </si>
  <si>
    <t>gleich Mittel 2007-2011</t>
  </si>
  <si>
    <t>gleich Trocken 2011</t>
  </si>
  <si>
    <t>i.v. mit 2041, Eigene Hypothesen basierend auf NFP61-Kauzlaric allgemeinen Prognosen</t>
  </si>
  <si>
    <t>Abfluss Westgebiete (Tseuzier)</t>
  </si>
  <si>
    <t>Ende Aug= theor.Hydropowerpot.</t>
  </si>
  <si>
    <t>Winter -5%, Sommer -20% und -2,5 mio.</t>
  </si>
  <si>
    <t>Winter +5%, Sommer -10% und -2,5 mio.</t>
  </si>
  <si>
    <t>Mit multifunktionalen Speichern</t>
  </si>
  <si>
    <t>in Mio.m3</t>
  </si>
  <si>
    <t>Sept-Aug</t>
  </si>
  <si>
    <t>Ø pro Mt.</t>
  </si>
  <si>
    <t>Ø Mt.</t>
  </si>
  <si>
    <t>Trocken 2037-2041 (=2050)</t>
  </si>
  <si>
    <t>Restwasser (Natur) -Ostgebiete</t>
  </si>
  <si>
    <t>Restwasser (Natur) -  Ostgebiete</t>
  </si>
  <si>
    <t>Abgabe</t>
  </si>
  <si>
    <t>Rückhalt</t>
  </si>
  <si>
    <r>
      <t xml:space="preserve">Trocken 2085 - </t>
    </r>
    <r>
      <rPr>
        <b/>
        <sz val="14"/>
        <color rgb="FFC00000"/>
        <rFont val="Calibri"/>
        <family val="2"/>
        <scheme val="minor"/>
      </rPr>
      <t>Rückhalt - Abgabe &gt;</t>
    </r>
  </si>
  <si>
    <t>Abfluss - Darstellg.ohne Abgabe</t>
  </si>
  <si>
    <t>Optimierung Bewässerung</t>
  </si>
  <si>
    <t>Speicher kumuliert</t>
  </si>
  <si>
    <t>Einsparung Bewässerung</t>
  </si>
  <si>
    <t>Inkl Westgebiete (Liene)</t>
  </si>
  <si>
    <t>Restwasser von B. Schädler höher geschätzt (Faktor 2 statt 0,8) &gt; Defizite steigen</t>
  </si>
  <si>
    <t>Basis-ID</t>
  </si>
  <si>
    <t>FN</t>
  </si>
  <si>
    <t>P</t>
  </si>
  <si>
    <t>mH</t>
  </si>
  <si>
    <t>Hmax</t>
  </si>
  <si>
    <t>Hmin</t>
  </si>
  <si>
    <t>Im</t>
  </si>
  <si>
    <t>I3</t>
  </si>
  <si>
    <t>I15</t>
  </si>
  <si>
    <t>Fvgl</t>
  </si>
  <si>
    <t>Fvsg</t>
  </si>
  <si>
    <t>FBo</t>
  </si>
  <si>
    <t>FW</t>
  </si>
  <si>
    <t>WSV</t>
  </si>
  <si>
    <t>Fussnote</t>
  </si>
  <si>
    <t>Tièche-Raspille</t>
  </si>
  <si>
    <t>Kein hydrologisches Einzugsgebiet im engeren Sinne; Kenngrössen in einem innerhalb des Gebietes gelegenen Einzugsgebiet erhoben</t>
  </si>
  <si>
    <t>Lienne Oben</t>
  </si>
  <si>
    <t>Lienne Mitte</t>
  </si>
  <si>
    <t>Unten</t>
  </si>
  <si>
    <t>Zufluss Lac Tseuzier</t>
  </si>
  <si>
    <t>Ort / Monat</t>
  </si>
  <si>
    <t xml:space="preserve">Nov </t>
  </si>
  <si>
    <t>Trinkwasser inkl. Industrie</t>
  </si>
  <si>
    <t>Energieproduktion Liène SA</t>
  </si>
  <si>
    <t>Vorläufig = Mittel 2007 - 2011</t>
  </si>
  <si>
    <t>Vorläufig = Trocken 2011</t>
  </si>
  <si>
    <t>x 2 um Industrie zu berücksichtigen</t>
  </si>
  <si>
    <t>Lac Tseuzier Abfluss Natur (Restwasser)</t>
  </si>
  <si>
    <t>Zufluss Fassungen Ost</t>
  </si>
  <si>
    <t>Ost Abfluss Natur (Restwasser)</t>
  </si>
  <si>
    <t>Bewässerung abgedeckt durch Lac Tseuzier</t>
  </si>
  <si>
    <t>Kauzlaric, 2015</t>
  </si>
  <si>
    <t>Mittel 2007-2012</t>
  </si>
  <si>
    <t>TOTAL BEDARF ab Lac Tseuzier</t>
  </si>
  <si>
    <t>Mittel 2007 - 2012</t>
  </si>
  <si>
    <t>Mittel 2010 - 2012</t>
  </si>
  <si>
    <t>MontanAqua</t>
  </si>
  <si>
    <t>Mittel 2100</t>
  </si>
  <si>
    <t>Trocken 2100</t>
  </si>
  <si>
    <t>Beeschneiung abgedeckt durch Lac Tseuzier</t>
  </si>
  <si>
    <t>Trinkwasser inkl. Industrie abgedecckt durch Lac Tseuzier</t>
  </si>
  <si>
    <t>MONATLICHE BILANZ ZUFLUSS - BEDARF</t>
  </si>
  <si>
    <t>FÜLLSTAND LAC TSEUZIER PER ENDE MONAT</t>
  </si>
  <si>
    <t>[]</t>
  </si>
  <si>
    <t>Graph</t>
  </si>
  <si>
    <t>Afflux Lac Tseuzier</t>
  </si>
  <si>
    <t>Afflux captages est</t>
  </si>
  <si>
    <t>Moyenne 2100</t>
  </si>
  <si>
    <t>Remarques</t>
  </si>
  <si>
    <t>Liène-ruisse depuis Barrage (minimum)</t>
  </si>
  <si>
    <t>Tièche-ruisseaux est (minimum)</t>
  </si>
  <si>
    <t>Toute l'année</t>
  </si>
  <si>
    <t>Projet Lienne-Raspille</t>
  </si>
  <si>
    <t>Période de temps</t>
  </si>
  <si>
    <t>Fév</t>
  </si>
  <si>
    <t>Mars</t>
  </si>
  <si>
    <t>Avril</t>
  </si>
  <si>
    <t>Juin</t>
  </si>
  <si>
    <t>Juillet</t>
  </si>
  <si>
    <t>Août</t>
  </si>
  <si>
    <t>Oct</t>
  </si>
  <si>
    <t>Déc</t>
  </si>
  <si>
    <t>Annuel</t>
  </si>
  <si>
    <t>BESOIN</t>
  </si>
  <si>
    <t>Eau potable inclus industrie</t>
  </si>
  <si>
    <t>Besoin mensuel</t>
  </si>
  <si>
    <t>Eau potable inclus industrie couvert par Lac Tseuzier</t>
  </si>
  <si>
    <t>Moyenne 2050</t>
  </si>
  <si>
    <t>Moyenne 2010 - 2011</t>
  </si>
  <si>
    <t>Irrigation</t>
  </si>
  <si>
    <t>Irrigation couvert par Lac Tseuzier</t>
  </si>
  <si>
    <t>Enneigement couvert par Lac Moubra</t>
  </si>
  <si>
    <t>TOTAL BESOIm DEPUIS LAC TSEUZIER</t>
  </si>
  <si>
    <t>BILAN MENSUEL AFFLUX - BESOIN</t>
  </si>
  <si>
    <t>NIVEAU LAC, LE MAXIMUM EST 45 MIO. M3, RESERVE DE 5 MIO M3 POUR HAUTES EAUX</t>
  </si>
  <si>
    <t>Production Energie Barrage</t>
  </si>
  <si>
    <t>Eau Potable Icogne, Lens Chermignon, Montana</t>
  </si>
  <si>
    <t>Eau potable Randogne, Mollens</t>
  </si>
  <si>
    <t>Eau potableBedarf Miège, Venthône, Veyras, Sierre</t>
  </si>
  <si>
    <t>Eau potable Bedarf Salgesch, Varen</t>
  </si>
  <si>
    <t>Ennneigement</t>
  </si>
  <si>
    <t>Captage 1a</t>
  </si>
  <si>
    <t>Captage 2</t>
  </si>
  <si>
    <t>Captage 3</t>
  </si>
  <si>
    <t>L'eau est amené par les bisses, ce transport manque dans le clip de Y. Rey</t>
  </si>
  <si>
    <t>Eventuellement c'est mieux de montrer un tube indépendant pour l'enneigement (manque dans clip)</t>
  </si>
  <si>
    <t>Trocken = sèche</t>
  </si>
  <si>
    <t>Zufluss Lac Tseuzier (naturel)</t>
  </si>
  <si>
    <t>Zufluss = Afflux, Fassungen = captage</t>
  </si>
  <si>
    <t>Nuitée du tourisme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</si>
</sst>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_ ;[Red]\-#,##0\ "/>
    <numFmt numFmtId="165" formatCode="#,##0.000"/>
    <numFmt numFmtId="166" formatCode="#,##0.000_ ;[Red]\-#,##0.000\ "/>
    <numFmt numFmtId="167" formatCode="0.0%"/>
    <numFmt numFmtId="168" formatCode="0.000"/>
    <numFmt numFmtId="169" formatCode="0.0"/>
    <numFmt numFmtId="170" formatCode="#,##0.0"/>
    <numFmt numFmtId="171" formatCode="#,##0.0_ ;[Red]\-#,##0.0\ 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265F92"/>
      <name val="Calibri"/>
      <family val="2"/>
      <scheme val="minor"/>
    </font>
    <font>
      <b/>
      <sz val="11"/>
      <color rgb="FF000000"/>
      <name val="Arial"/>
      <family val="2"/>
    </font>
    <font>
      <sz val="7.5"/>
      <color rgb="FF0B0080"/>
      <name val="Arial"/>
      <family val="2"/>
    </font>
    <font>
      <b/>
      <sz val="9"/>
      <color theme="1"/>
      <name val="Calibri"/>
      <family val="2"/>
      <scheme val="minor"/>
    </font>
    <font>
      <sz val="9"/>
      <color rgb="FF0B0080"/>
      <name val="Calibri"/>
      <family val="2"/>
      <scheme val="minor"/>
    </font>
    <font>
      <sz val="11"/>
      <color rgb="FF000000"/>
      <name val="Arial"/>
      <family val="2"/>
    </font>
    <font>
      <sz val="11"/>
      <color rgb="FF0B0080"/>
      <name val="Calibri"/>
      <family val="2"/>
      <scheme val="minor"/>
    </font>
    <font>
      <sz val="11"/>
      <color rgb="FF0B0080"/>
      <name val="Arial"/>
      <family val="2"/>
    </font>
    <font>
      <sz val="11"/>
      <color rgb="FF0000FF"/>
      <name val="Arial"/>
      <family val="2"/>
    </font>
    <font>
      <sz val="11"/>
      <color rgb="FF663366"/>
      <name val="Arial"/>
      <family val="2"/>
    </font>
    <font>
      <sz val="10"/>
      <color rgb="FF000000"/>
      <name val="Arial"/>
      <family val="2"/>
    </font>
    <font>
      <sz val="10"/>
      <color rgb="FF663366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EF0BE"/>
        <bgColor indexed="64"/>
      </patternFill>
    </fill>
    <fill>
      <patternFill patternType="solid">
        <fgColor rgb="FFFEF5D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EDAF2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/>
      <bottom/>
      <diagonal/>
    </border>
    <border>
      <left/>
      <right style="medium">
        <color rgb="FFAAAAAA"/>
      </right>
      <top/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0" fontId="27" fillId="0" borderId="0" applyNumberFormat="0" applyFill="0" applyBorder="0" applyAlignment="0" applyProtection="0"/>
    <xf numFmtId="0" fontId="30" fillId="0" borderId="0"/>
  </cellStyleXfs>
  <cellXfs count="202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2" borderId="0" xfId="0" applyNumberFormat="1" applyFill="1" applyAlignment="1">
      <alignment vertical="top" wrapText="1"/>
    </xf>
    <xf numFmtId="1" fontId="0" fillId="4" borderId="0" xfId="0" applyNumberFormat="1" applyFill="1" applyAlignment="1">
      <alignment vertical="top" wrapText="1"/>
    </xf>
    <xf numFmtId="0" fontId="0" fillId="5" borderId="0" xfId="0" applyFill="1"/>
    <xf numFmtId="1" fontId="0" fillId="5" borderId="0" xfId="0" applyNumberFormat="1" applyFill="1"/>
    <xf numFmtId="1" fontId="0" fillId="5" borderId="0" xfId="0" applyNumberForma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1" fontId="1" fillId="5" borderId="0" xfId="0" applyNumberFormat="1" applyFont="1" applyFill="1"/>
    <xf numFmtId="0" fontId="3" fillId="0" borderId="0" xfId="0" applyFont="1"/>
    <xf numFmtId="1" fontId="3" fillId="0" borderId="0" xfId="0" applyNumberFormat="1" applyFont="1" applyFill="1"/>
    <xf numFmtId="1" fontId="4" fillId="0" borderId="0" xfId="0" applyNumberFormat="1" applyFont="1" applyFill="1"/>
    <xf numFmtId="0" fontId="5" fillId="0" borderId="0" xfId="0" applyFont="1"/>
    <xf numFmtId="0" fontId="2" fillId="5" borderId="0" xfId="0" applyFont="1" applyFill="1"/>
    <xf numFmtId="164" fontId="0" fillId="2" borderId="0" xfId="0" applyNumberFormat="1" applyFill="1"/>
    <xf numFmtId="164" fontId="0" fillId="3" borderId="0" xfId="0" applyNumberFormat="1" applyFill="1"/>
    <xf numFmtId="164" fontId="0" fillId="0" borderId="0" xfId="0" applyNumberFormat="1"/>
    <xf numFmtId="164" fontId="0" fillId="5" borderId="0" xfId="0" applyNumberFormat="1" applyFill="1"/>
    <xf numFmtId="164" fontId="0" fillId="5" borderId="0" xfId="0" applyNumberFormat="1" applyFill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" fontId="0" fillId="7" borderId="0" xfId="0" applyNumberFormat="1" applyFill="1" applyAlignment="1">
      <alignment vertical="top" wrapText="1"/>
    </xf>
    <xf numFmtId="0" fontId="1" fillId="7" borderId="0" xfId="0" applyFont="1" applyFill="1" applyAlignment="1">
      <alignment wrapText="1"/>
    </xf>
    <xf numFmtId="1" fontId="0" fillId="7" borderId="0" xfId="0" applyNumberFormat="1" applyFill="1"/>
    <xf numFmtId="0" fontId="0" fillId="7" borderId="0" xfId="0" applyFill="1" applyAlignment="1">
      <alignment wrapText="1"/>
    </xf>
    <xf numFmtId="0" fontId="2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6" fillId="8" borderId="0" xfId="0" applyFont="1" applyFill="1"/>
    <xf numFmtId="0" fontId="6" fillId="3" borderId="0" xfId="0" applyFont="1" applyFill="1" applyAlignment="1">
      <alignment horizontal="right"/>
    </xf>
    <xf numFmtId="0" fontId="6" fillId="6" borderId="0" xfId="0" applyFont="1" applyFill="1" applyAlignment="1">
      <alignment horizontal="right"/>
    </xf>
    <xf numFmtId="0" fontId="7" fillId="0" borderId="0" xfId="0" applyFont="1"/>
    <xf numFmtId="0" fontId="6" fillId="0" borderId="0" xfId="0" applyFont="1"/>
    <xf numFmtId="0" fontId="6" fillId="0" borderId="0" xfId="0" applyFont="1" applyFill="1"/>
    <xf numFmtId="165" fontId="6" fillId="0" borderId="0" xfId="0" applyNumberFormat="1" applyFont="1" applyFill="1" applyAlignment="1">
      <alignment horizontal="right"/>
    </xf>
    <xf numFmtId="165" fontId="6" fillId="6" borderId="0" xfId="0" applyNumberFormat="1" applyFont="1" applyFill="1" applyAlignment="1">
      <alignment horizontal="right"/>
    </xf>
    <xf numFmtId="165" fontId="7" fillId="0" borderId="0" xfId="0" applyNumberFormat="1" applyFont="1"/>
    <xf numFmtId="0" fontId="1" fillId="0" borderId="0" xfId="0" applyFont="1" applyFill="1"/>
    <xf numFmtId="165" fontId="1" fillId="0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65" fontId="8" fillId="0" borderId="0" xfId="0" applyNumberFormat="1" applyFont="1"/>
    <xf numFmtId="0" fontId="1" fillId="0" borderId="0" xfId="0" applyFont="1"/>
    <xf numFmtId="0" fontId="0" fillId="0" borderId="0" xfId="0" applyFill="1"/>
    <xf numFmtId="165" fontId="0" fillId="0" borderId="0" xfId="0" applyNumberFormat="1" applyFill="1"/>
    <xf numFmtId="165" fontId="0" fillId="6" borderId="0" xfId="0" applyNumberFormat="1" applyFill="1"/>
    <xf numFmtId="165" fontId="9" fillId="0" borderId="0" xfId="0" applyNumberFormat="1" applyFont="1"/>
    <xf numFmtId="165" fontId="1" fillId="0" borderId="0" xfId="0" applyNumberFormat="1" applyFont="1" applyFill="1"/>
    <xf numFmtId="165" fontId="1" fillId="6" borderId="0" xfId="0" applyNumberFormat="1" applyFont="1" applyFill="1"/>
    <xf numFmtId="165" fontId="0" fillId="0" borderId="0" xfId="0" applyNumberFormat="1" applyFont="1" applyFill="1"/>
    <xf numFmtId="165" fontId="9" fillId="0" borderId="0" xfId="0" applyNumberFormat="1" applyFont="1" applyFill="1"/>
    <xf numFmtId="166" fontId="0" fillId="0" borderId="0" xfId="0" applyNumberFormat="1" applyFill="1"/>
    <xf numFmtId="0" fontId="0" fillId="6" borderId="0" xfId="0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1" fillId="6" borderId="0" xfId="0" applyFont="1" applyFill="1"/>
    <xf numFmtId="165" fontId="8" fillId="0" borderId="0" xfId="0" applyNumberFormat="1" applyFont="1" applyFill="1"/>
    <xf numFmtId="166" fontId="0" fillId="0" borderId="0" xfId="0" applyNumberFormat="1" applyFill="1" applyAlignment="1">
      <alignment horizontal="right"/>
    </xf>
    <xf numFmtId="9" fontId="0" fillId="0" borderId="0" xfId="0" applyNumberFormat="1" applyFill="1"/>
    <xf numFmtId="166" fontId="1" fillId="0" borderId="0" xfId="0" applyNumberFormat="1" applyFont="1" applyFill="1"/>
    <xf numFmtId="9" fontId="1" fillId="0" borderId="0" xfId="0" applyNumberFormat="1" applyFont="1" applyFill="1"/>
    <xf numFmtId="0" fontId="1" fillId="0" borderId="0" xfId="0" applyFont="1" applyFill="1" applyAlignment="1">
      <alignment wrapText="1"/>
    </xf>
    <xf numFmtId="165" fontId="1" fillId="0" borderId="0" xfId="0" applyNumberFormat="1" applyFont="1" applyFill="1" applyAlignment="1">
      <alignment wrapText="1"/>
    </xf>
    <xf numFmtId="165" fontId="1" fillId="0" borderId="0" xfId="0" applyNumberFormat="1" applyFont="1" applyFill="1" applyAlignment="1">
      <alignment horizontal="right" wrapText="1"/>
    </xf>
    <xf numFmtId="0" fontId="0" fillId="0" borderId="0" xfId="0" applyFill="1" applyAlignment="1">
      <alignment horizontal="right" wrapText="1"/>
    </xf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165" fontId="0" fillId="6" borderId="0" xfId="0" applyNumberFormat="1" applyFill="1" applyAlignment="1">
      <alignment wrapText="1"/>
    </xf>
    <xf numFmtId="0" fontId="9" fillId="0" borderId="0" xfId="0" applyFont="1" applyAlignment="1">
      <alignment wrapText="1"/>
    </xf>
    <xf numFmtId="165" fontId="0" fillId="0" borderId="0" xfId="0" applyNumberFormat="1" applyFill="1" applyAlignment="1">
      <alignment horizontal="right"/>
    </xf>
    <xf numFmtId="0" fontId="9" fillId="0" borderId="0" xfId="0" applyFont="1"/>
    <xf numFmtId="0" fontId="9" fillId="0" borderId="0" xfId="0" applyFont="1" applyFill="1"/>
    <xf numFmtId="0" fontId="0" fillId="8" borderId="0" xfId="0" applyFill="1"/>
    <xf numFmtId="0" fontId="0" fillId="9" borderId="0" xfId="0" applyFill="1" applyAlignment="1">
      <alignment horizontal="right"/>
    </xf>
    <xf numFmtId="0" fontId="0" fillId="3" borderId="0" xfId="0" applyFill="1"/>
    <xf numFmtId="0" fontId="9" fillId="6" borderId="0" xfId="0" applyFont="1" applyFill="1"/>
    <xf numFmtId="3" fontId="0" fillId="0" borderId="0" xfId="0" applyNumberFormat="1"/>
    <xf numFmtId="0" fontId="10" fillId="0" borderId="1" xfId="0" applyFont="1" applyBorder="1"/>
    <xf numFmtId="0" fontId="11" fillId="0" borderId="0" xfId="0" applyFont="1" applyAlignment="1">
      <alignment horizontal="right"/>
    </xf>
    <xf numFmtId="2" fontId="0" fillId="0" borderId="0" xfId="0" applyNumberFormat="1"/>
    <xf numFmtId="0" fontId="0" fillId="0" borderId="0" xfId="0" applyFont="1"/>
    <xf numFmtId="1" fontId="0" fillId="0" borderId="0" xfId="0" applyNumberFormat="1" applyFill="1"/>
    <xf numFmtId="165" fontId="0" fillId="0" borderId="0" xfId="0" applyNumberFormat="1"/>
    <xf numFmtId="9" fontId="0" fillId="0" borderId="0" xfId="0" applyNumberFormat="1"/>
    <xf numFmtId="167" fontId="0" fillId="0" borderId="0" xfId="0" applyNumberFormat="1"/>
    <xf numFmtId="10" fontId="0" fillId="0" borderId="0" xfId="0" applyNumberFormat="1"/>
    <xf numFmtId="4" fontId="0" fillId="0" borderId="0" xfId="0" applyNumberFormat="1"/>
    <xf numFmtId="49" fontId="0" fillId="0" borderId="0" xfId="0" applyNumberFormat="1" applyAlignment="1">
      <alignment horizontal="right"/>
    </xf>
    <xf numFmtId="165" fontId="12" fillId="0" borderId="0" xfId="0" applyNumberFormat="1" applyFont="1" applyFill="1"/>
    <xf numFmtId="3" fontId="13" fillId="0" borderId="1" xfId="0" applyNumberFormat="1" applyFont="1" applyBorder="1"/>
    <xf numFmtId="3" fontId="10" fillId="0" borderId="1" xfId="0" applyNumberFormat="1" applyFont="1" applyBorder="1"/>
    <xf numFmtId="3" fontId="10" fillId="0" borderId="0" xfId="0" applyNumberFormat="1" applyFont="1"/>
    <xf numFmtId="168" fontId="0" fillId="0" borderId="0" xfId="0" applyNumberFormat="1"/>
    <xf numFmtId="3" fontId="12" fillId="0" borderId="0" xfId="0" applyNumberFormat="1" applyFont="1" applyFill="1" applyAlignment="1">
      <alignment horizontal="right"/>
    </xf>
    <xf numFmtId="0" fontId="14" fillId="0" borderId="0" xfId="0" applyFont="1" applyFill="1"/>
    <xf numFmtId="0" fontId="6" fillId="0" borderId="0" xfId="0" applyFont="1" applyFill="1" applyAlignment="1">
      <alignment horizontal="right"/>
    </xf>
    <xf numFmtId="0" fontId="7" fillId="0" borderId="0" xfId="0" applyFont="1" applyFill="1"/>
    <xf numFmtId="165" fontId="1" fillId="10" borderId="0" xfId="0" applyNumberFormat="1" applyFont="1" applyFill="1"/>
    <xf numFmtId="0" fontId="6" fillId="10" borderId="0" xfId="0" applyFont="1" applyFill="1" applyAlignment="1">
      <alignment horizontal="right"/>
    </xf>
    <xf numFmtId="167" fontId="9" fillId="0" borderId="0" xfId="0" applyNumberFormat="1" applyFont="1"/>
    <xf numFmtId="0" fontId="15" fillId="3" borderId="0" xfId="0" applyFont="1" applyFill="1"/>
    <xf numFmtId="3" fontId="15" fillId="3" borderId="0" xfId="0" applyNumberFormat="1" applyFont="1" applyFill="1"/>
    <xf numFmtId="0" fontId="15" fillId="3" borderId="0" xfId="0" applyFont="1" applyFill="1" applyAlignment="1">
      <alignment horizontal="right"/>
    </xf>
    <xf numFmtId="0" fontId="0" fillId="11" borderId="6" xfId="0" applyFill="1" applyBorder="1"/>
    <xf numFmtId="0" fontId="0" fillId="11" borderId="8" xfId="0" applyFill="1" applyBorder="1"/>
    <xf numFmtId="0" fontId="0" fillId="11" borderId="10" xfId="0" applyFill="1" applyBorder="1"/>
    <xf numFmtId="0" fontId="18" fillId="11" borderId="5" xfId="0" applyFont="1" applyFill="1" applyBorder="1" applyAlignment="1">
      <alignment vertical="center" wrapText="1"/>
    </xf>
    <xf numFmtId="0" fontId="27" fillId="11" borderId="6" xfId="1" applyFill="1" applyBorder="1" applyAlignment="1">
      <alignment vertical="center" wrapText="1"/>
    </xf>
    <xf numFmtId="0" fontId="18" fillId="11" borderId="7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vertical="center" wrapText="1"/>
    </xf>
    <xf numFmtId="0" fontId="27" fillId="11" borderId="8" xfId="1" applyFill="1" applyBorder="1" applyAlignment="1">
      <alignment vertical="center" wrapText="1"/>
    </xf>
    <xf numFmtId="0" fontId="18" fillId="11" borderId="9" xfId="0" applyFont="1" applyFill="1" applyBorder="1" applyAlignment="1">
      <alignment vertical="center" wrapText="1"/>
    </xf>
    <xf numFmtId="0" fontId="5" fillId="11" borderId="10" xfId="0" applyFont="1" applyFill="1" applyBorder="1" applyAlignment="1">
      <alignment vertical="center" wrapText="1"/>
    </xf>
    <xf numFmtId="0" fontId="19" fillId="11" borderId="9" xfId="0" applyFont="1" applyFill="1" applyBorder="1" applyAlignment="1">
      <alignment vertical="center" wrapText="1"/>
    </xf>
    <xf numFmtId="0" fontId="27" fillId="13" borderId="2" xfId="1" applyFill="1" applyBorder="1" applyAlignment="1">
      <alignment vertical="top" wrapText="1"/>
    </xf>
    <xf numFmtId="0" fontId="23" fillId="11" borderId="2" xfId="0" applyFont="1" applyFill="1" applyBorder="1" applyAlignment="1">
      <alignment vertical="center" wrapText="1"/>
    </xf>
    <xf numFmtId="0" fontId="20" fillId="14" borderId="2" xfId="0" applyFont="1" applyFill="1" applyBorder="1" applyAlignment="1">
      <alignment vertical="center" wrapText="1"/>
    </xf>
    <xf numFmtId="0" fontId="22" fillId="11" borderId="2" xfId="0" applyFont="1" applyFill="1" applyBorder="1" applyAlignment="1">
      <alignment vertical="center" wrapText="1"/>
    </xf>
    <xf numFmtId="0" fontId="20" fillId="11" borderId="2" xfId="0" applyFont="1" applyFill="1" applyBorder="1" applyAlignment="1">
      <alignment vertical="center" wrapText="1"/>
    </xf>
    <xf numFmtId="0" fontId="27" fillId="14" borderId="2" xfId="1" applyFill="1" applyBorder="1" applyAlignment="1">
      <alignment vertical="center" wrapText="1"/>
    </xf>
    <xf numFmtId="0" fontId="27" fillId="11" borderId="2" xfId="1" applyFill="1" applyBorder="1" applyAlignment="1">
      <alignment vertical="center" wrapText="1"/>
    </xf>
    <xf numFmtId="164" fontId="1" fillId="0" borderId="0" xfId="0" applyNumberFormat="1" applyFont="1"/>
    <xf numFmtId="1" fontId="0" fillId="0" borderId="0" xfId="0" applyNumberFormat="1" applyFill="1" applyAlignment="1">
      <alignment horizontal="right"/>
    </xf>
    <xf numFmtId="1" fontId="0" fillId="6" borderId="0" xfId="0" applyNumberFormat="1" applyFill="1"/>
    <xf numFmtId="164" fontId="0" fillId="0" borderId="0" xfId="0" applyNumberFormat="1" applyFill="1"/>
    <xf numFmtId="168" fontId="0" fillId="0" borderId="0" xfId="0" applyNumberFormat="1" applyFill="1"/>
    <xf numFmtId="0" fontId="8" fillId="0" borderId="0" xfId="0" applyFont="1"/>
    <xf numFmtId="1" fontId="9" fillId="0" borderId="0" xfId="0" applyNumberFormat="1" applyFont="1" applyFill="1"/>
    <xf numFmtId="0" fontId="0" fillId="0" borderId="0" xfId="0" applyFont="1" applyFill="1"/>
    <xf numFmtId="166" fontId="0" fillId="3" borderId="0" xfId="0" applyNumberFormat="1" applyFill="1"/>
    <xf numFmtId="0" fontId="28" fillId="0" borderId="0" xfId="0" applyFont="1" applyFill="1"/>
    <xf numFmtId="0" fontId="2" fillId="0" borderId="0" xfId="0" applyFont="1"/>
    <xf numFmtId="169" fontId="0" fillId="0" borderId="0" xfId="0" applyNumberFormat="1"/>
    <xf numFmtId="0" fontId="10" fillId="0" borderId="0" xfId="0" applyFont="1"/>
    <xf numFmtId="0" fontId="13" fillId="0" borderId="0" xfId="0" applyFont="1"/>
    <xf numFmtId="169" fontId="0" fillId="6" borderId="0" xfId="0" applyNumberFormat="1" applyFill="1"/>
    <xf numFmtId="170" fontId="28" fillId="0" borderId="0" xfId="0" quotePrefix="1" applyNumberFormat="1" applyFont="1" applyFill="1" applyAlignment="1">
      <alignment horizontal="right"/>
    </xf>
    <xf numFmtId="171" fontId="0" fillId="0" borderId="0" xfId="0" applyNumberFormat="1" applyFill="1"/>
    <xf numFmtId="165" fontId="0" fillId="10" borderId="0" xfId="0" applyNumberFormat="1" applyFont="1" applyFill="1"/>
    <xf numFmtId="166" fontId="0" fillId="0" borderId="11" xfId="0" applyNumberFormat="1" applyFill="1" applyBorder="1"/>
    <xf numFmtId="168" fontId="0" fillId="6" borderId="0" xfId="0" applyNumberFormat="1" applyFill="1"/>
    <xf numFmtId="165" fontId="12" fillId="4" borderId="0" xfId="0" applyNumberFormat="1" applyFont="1" applyFill="1"/>
    <xf numFmtId="0" fontId="31" fillId="0" borderId="0" xfId="2" applyFont="1"/>
    <xf numFmtId="0" fontId="31" fillId="0" borderId="0" xfId="2" applyFont="1"/>
    <xf numFmtId="0" fontId="31" fillId="0" borderId="0" xfId="2" applyFont="1"/>
    <xf numFmtId="0" fontId="0" fillId="15" borderId="0" xfId="0" applyFill="1"/>
    <xf numFmtId="165" fontId="0" fillId="15" borderId="0" xfId="0" applyNumberFormat="1" applyFont="1" applyFill="1" applyAlignment="1">
      <alignment horizontal="right" vertical="center"/>
    </xf>
    <xf numFmtId="168" fontId="0" fillId="15" borderId="0" xfId="0" applyNumberFormat="1" applyFill="1"/>
    <xf numFmtId="0" fontId="1" fillId="15" borderId="0" xfId="0" applyFont="1" applyFill="1"/>
    <xf numFmtId="165" fontId="1" fillId="15" borderId="0" xfId="0" applyNumberFormat="1" applyFont="1" applyFill="1"/>
    <xf numFmtId="165" fontId="0" fillId="15" borderId="0" xfId="0" applyNumberFormat="1" applyFont="1" applyFill="1"/>
    <xf numFmtId="165" fontId="0" fillId="15" borderId="0" xfId="0" applyNumberFormat="1" applyFill="1"/>
    <xf numFmtId="165" fontId="12" fillId="15" borderId="0" xfId="0" applyNumberFormat="1" applyFont="1" applyFill="1"/>
    <xf numFmtId="0" fontId="0" fillId="15" borderId="0" xfId="0" applyFill="1" applyAlignment="1">
      <alignment horizontal="right"/>
    </xf>
    <xf numFmtId="0" fontId="9" fillId="15" borderId="0" xfId="0" applyFont="1" applyFill="1"/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0" fontId="1" fillId="15" borderId="0" xfId="0" applyFont="1" applyFill="1" applyAlignment="1">
      <alignment wrapText="1"/>
    </xf>
    <xf numFmtId="165" fontId="1" fillId="15" borderId="0" xfId="0" applyNumberFormat="1" applyFont="1" applyFill="1" applyAlignment="1">
      <alignment wrapText="1"/>
    </xf>
    <xf numFmtId="165" fontId="1" fillId="15" borderId="0" xfId="0" applyNumberFormat="1" applyFont="1" applyFill="1" applyAlignment="1">
      <alignment horizontal="right" wrapText="1"/>
    </xf>
    <xf numFmtId="0" fontId="0" fillId="15" borderId="0" xfId="0" applyFill="1" applyAlignment="1">
      <alignment horizontal="right" wrapText="1"/>
    </xf>
    <xf numFmtId="0" fontId="1" fillId="15" borderId="0" xfId="0" applyFont="1" applyFill="1" applyAlignment="1">
      <alignment horizontal="right" wrapText="1"/>
    </xf>
    <xf numFmtId="0" fontId="0" fillId="15" borderId="0" xfId="0" applyFill="1" applyAlignment="1">
      <alignment wrapText="1"/>
    </xf>
    <xf numFmtId="165" fontId="0" fillId="15" borderId="0" xfId="0" applyNumberFormat="1" applyFill="1" applyAlignment="1">
      <alignment wrapText="1"/>
    </xf>
    <xf numFmtId="0" fontId="9" fillId="15" borderId="0" xfId="0" applyFont="1" applyFill="1" applyAlignment="1">
      <alignment wrapText="1"/>
    </xf>
    <xf numFmtId="3" fontId="12" fillId="15" borderId="0" xfId="0" applyNumberFormat="1" applyFont="1" applyFill="1" applyAlignment="1">
      <alignment horizontal="right"/>
    </xf>
    <xf numFmtId="165" fontId="0" fillId="15" borderId="0" xfId="0" applyNumberFormat="1" applyFill="1" applyAlignment="1">
      <alignment horizontal="right"/>
    </xf>
    <xf numFmtId="9" fontId="0" fillId="15" borderId="0" xfId="0" applyNumberFormat="1" applyFill="1"/>
    <xf numFmtId="166" fontId="0" fillId="15" borderId="0" xfId="0" applyNumberFormat="1" applyFill="1"/>
    <xf numFmtId="0" fontId="32" fillId="0" borderId="0" xfId="0" applyFont="1"/>
    <xf numFmtId="0" fontId="9" fillId="0" borderId="1" xfId="0" applyFont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6" fillId="0" borderId="0" xfId="0" applyFont="1" applyFill="1" applyAlignment="1">
      <alignment horizontal="left"/>
    </xf>
    <xf numFmtId="165" fontId="0" fillId="0" borderId="0" xfId="0" applyNumberFormat="1" applyFill="1" applyAlignment="1">
      <alignment horizontal="left"/>
    </xf>
    <xf numFmtId="165" fontId="1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 wrapText="1"/>
    </xf>
    <xf numFmtId="1" fontId="0" fillId="0" borderId="0" xfId="0" applyNumberFormat="1" applyFill="1" applyAlignment="1">
      <alignment horizontal="left"/>
    </xf>
    <xf numFmtId="0" fontId="8" fillId="0" borderId="0" xfId="0" applyFont="1" applyFill="1"/>
    <xf numFmtId="167" fontId="9" fillId="0" borderId="0" xfId="0" applyNumberFormat="1" applyFont="1" applyFill="1"/>
    <xf numFmtId="165" fontId="0" fillId="10" borderId="0" xfId="0" applyNumberFormat="1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1" fillId="0" borderId="0" xfId="0" applyFont="1" applyAlignment="1">
      <alignment wrapText="1"/>
    </xf>
    <xf numFmtId="0" fontId="21" fillId="11" borderId="5" xfId="0" applyFont="1" applyFill="1" applyBorder="1" applyAlignment="1">
      <alignment horizontal="center" vertical="center" wrapText="1"/>
    </xf>
    <xf numFmtId="0" fontId="21" fillId="11" borderId="7" xfId="0" applyFont="1" applyFill="1" applyBorder="1" applyAlignment="1">
      <alignment horizontal="center" vertical="center" wrapText="1"/>
    </xf>
    <xf numFmtId="0" fontId="16" fillId="12" borderId="3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17" fillId="11" borderId="6" xfId="0" applyFont="1" applyFill="1" applyBorder="1" applyAlignment="1">
      <alignment horizontal="center" vertical="center" wrapText="1"/>
    </xf>
    <xf numFmtId="0" fontId="17" fillId="11" borderId="7" xfId="0" applyFont="1" applyFill="1" applyBorder="1" applyAlignment="1">
      <alignment horizontal="center" vertical="center" wrapText="1"/>
    </xf>
    <xf numFmtId="0" fontId="17" fillId="11" borderId="8" xfId="0" applyFont="1" applyFill="1" applyBorder="1" applyAlignment="1">
      <alignment horizontal="center" vertical="center" wrapText="1"/>
    </xf>
    <xf numFmtId="0" fontId="17" fillId="11" borderId="9" xfId="0" applyFont="1" applyFill="1" applyBorder="1" applyAlignment="1">
      <alignment horizontal="center" vertical="center" wrapText="1"/>
    </xf>
    <xf numFmtId="0" fontId="17" fillId="11" borderId="10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0" fillId="16" borderId="0" xfId="0" applyFill="1"/>
  </cellXfs>
  <cellStyles count="3">
    <cellStyle name="Lien hypertexte" xfId="1" builtinId="8"/>
    <cellStyle name="Normal" xfId="0" builtinId="0"/>
    <cellStyle name="Standard 2" xfId="2"/>
  </cellStyles>
  <dxfs count="0"/>
  <tableStyles count="0" defaultTableStyle="TableStyleMedium2" defaultPivotStyle="PivotStyleLight16"/>
  <colors>
    <mruColors>
      <color rgb="FFBDD7EE"/>
      <color rgb="FFCCFF99"/>
      <color rgb="FFCCFF33"/>
      <color rgb="FF06947C"/>
      <color rgb="FFA4088E"/>
      <color rgb="FFFC8604"/>
      <color rgb="FF0F273D"/>
      <color rgb="FF4A206A"/>
      <color rgb="FF265F92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'Montana Grafiken'!$A$8</c:f>
              <c:strCache>
                <c:ptCount val="1"/>
                <c:pt idx="0">
                  <c:v>Restwasser (Natur)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'Montana Grafiken'!$B$8:$M$8</c:f>
              <c:numCache>
                <c:formatCode>#\ ##0.000</c:formatCode>
                <c:ptCount val="12"/>
                <c:pt idx="0">
                  <c:v>0.7651584</c:v>
                </c:pt>
                <c:pt idx="1">
                  <c:v>0.7651584</c:v>
                </c:pt>
                <c:pt idx="2">
                  <c:v>0.7651584</c:v>
                </c:pt>
                <c:pt idx="3">
                  <c:v>0.7651584</c:v>
                </c:pt>
                <c:pt idx="4">
                  <c:v>0.7651584</c:v>
                </c:pt>
                <c:pt idx="5">
                  <c:v>0.7651584</c:v>
                </c:pt>
                <c:pt idx="6">
                  <c:v>0.7651584</c:v>
                </c:pt>
                <c:pt idx="7">
                  <c:v>0.7651584</c:v>
                </c:pt>
                <c:pt idx="8">
                  <c:v>0.7651584</c:v>
                </c:pt>
                <c:pt idx="9">
                  <c:v>0.7651584</c:v>
                </c:pt>
                <c:pt idx="10">
                  <c:v>0.7651584</c:v>
                </c:pt>
                <c:pt idx="11">
                  <c:v>0.7651584</c:v>
                </c:pt>
              </c:numCache>
            </c:numRef>
          </c:val>
        </c:ser>
        <c:ser>
          <c:idx val="1"/>
          <c:order val="1"/>
          <c:tx>
            <c:strRef>
              <c:f>'Montana Grafiken'!$A$9</c:f>
              <c:strCache>
                <c:ptCount val="1"/>
                <c:pt idx="0">
                  <c:v>Trinkwasser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'Montana Grafiken'!$B$9:$M$9</c:f>
              <c:numCache>
                <c:formatCode>#\ ##0.000</c:formatCode>
                <c:ptCount val="12"/>
                <c:pt idx="0">
                  <c:v>0.321695</c:v>
                </c:pt>
                <c:pt idx="1">
                  <c:v>0.33075</c:v>
                </c:pt>
                <c:pt idx="2">
                  <c:v>0.3567</c:v>
                </c:pt>
                <c:pt idx="3">
                  <c:v>0.34082</c:v>
                </c:pt>
                <c:pt idx="4">
                  <c:v>0.313535</c:v>
                </c:pt>
                <c:pt idx="5">
                  <c:v>0.33632</c:v>
                </c:pt>
                <c:pt idx="6">
                  <c:v>0.314475</c:v>
                </c:pt>
                <c:pt idx="7">
                  <c:v>0.320195</c:v>
                </c:pt>
                <c:pt idx="8">
                  <c:v>0.35325</c:v>
                </c:pt>
                <c:pt idx="9">
                  <c:v>0.3642</c:v>
                </c:pt>
                <c:pt idx="10">
                  <c:v>0.36345</c:v>
                </c:pt>
                <c:pt idx="11">
                  <c:v>0.343125</c:v>
                </c:pt>
              </c:numCache>
            </c:numRef>
          </c:val>
        </c:ser>
        <c:ser>
          <c:idx val="2"/>
          <c:order val="2"/>
          <c:tx>
            <c:strRef>
              <c:f>'Montana Grafiken'!$A$10</c:f>
              <c:strCache>
                <c:ptCount val="1"/>
                <c:pt idx="0">
                  <c:v>Übrige Industrie und Gewerbe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'Montana Grafiken'!$B$10:$M$10</c:f>
              <c:numCache>
                <c:formatCode>#\ ##0.000</c:formatCode>
                <c:ptCount val="12"/>
                <c:pt idx="0">
                  <c:v>0.321695</c:v>
                </c:pt>
                <c:pt idx="1">
                  <c:v>0.33075</c:v>
                </c:pt>
                <c:pt idx="2">
                  <c:v>0.3567</c:v>
                </c:pt>
                <c:pt idx="3">
                  <c:v>0.34082</c:v>
                </c:pt>
                <c:pt idx="4">
                  <c:v>0.313535</c:v>
                </c:pt>
                <c:pt idx="5">
                  <c:v>0.33632</c:v>
                </c:pt>
                <c:pt idx="6">
                  <c:v>0.314475</c:v>
                </c:pt>
                <c:pt idx="7">
                  <c:v>0.320195</c:v>
                </c:pt>
                <c:pt idx="8">
                  <c:v>0.35325</c:v>
                </c:pt>
                <c:pt idx="9">
                  <c:v>0.3642</c:v>
                </c:pt>
                <c:pt idx="10">
                  <c:v>0.36345</c:v>
                </c:pt>
                <c:pt idx="11">
                  <c:v>0.343125</c:v>
                </c:pt>
              </c:numCache>
            </c:numRef>
          </c:val>
        </c:ser>
        <c:ser>
          <c:idx val="3"/>
          <c:order val="3"/>
          <c:tx>
            <c:strRef>
              <c:f>'Montana Grafiken'!$A$11</c:f>
              <c:strCache>
                <c:ptCount val="1"/>
                <c:pt idx="0">
                  <c:v>Bewässerung</c:v>
                </c:pt>
              </c:strCache>
            </c:strRef>
          </c:tx>
          <c:spPr>
            <a:solidFill>
              <a:srgbClr val="FC8604"/>
            </a:solidFill>
          </c:spPr>
          <c:invertIfNegative val="0"/>
          <c:val>
            <c:numRef>
              <c:f>'Montana Grafiken'!$B$11:$M$11</c:f>
              <c:numCache>
                <c:formatCode>#\ ##0.000</c:formatCode>
                <c:ptCount val="12"/>
                <c:pt idx="0">
                  <c:v>0.2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</c:v>
                </c:pt>
                <c:pt idx="7">
                  <c:v>0.19</c:v>
                </c:pt>
                <c:pt idx="8">
                  <c:v>0.31</c:v>
                </c:pt>
                <c:pt idx="9">
                  <c:v>0.56</c:v>
                </c:pt>
                <c:pt idx="10">
                  <c:v>0.6</c:v>
                </c:pt>
                <c:pt idx="11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overlap val="100"/>
        <c:axId val="-2144284728"/>
        <c:axId val="-2144279064"/>
      </c:barChart>
      <c:catAx>
        <c:axId val="-214428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279064"/>
        <c:crosses val="autoZero"/>
        <c:auto val="1"/>
        <c:lblAlgn val="ctr"/>
        <c:lblOffset val="100"/>
        <c:noMultiLvlLbl val="0"/>
      </c:catAx>
      <c:valAx>
        <c:axId val="-2144279064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-2144284728"/>
        <c:crosses val="autoZero"/>
        <c:crossBetween val="between"/>
        <c:majorUnit val="2.5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'Montana Grafiken'!$A$33</c:f>
              <c:strCache>
                <c:ptCount val="1"/>
                <c:pt idx="0">
                  <c:v>Abfluss Ostgebiete</c:v>
                </c:pt>
              </c:strCache>
            </c:strRef>
          </c:tx>
          <c:spPr>
            <a:solidFill>
              <a:srgbClr val="0F273D"/>
            </a:solidFill>
          </c:spPr>
          <c:invertIfNegative val="0"/>
          <c:val>
            <c:numRef>
              <c:f>'Montana Grafiken'!$B$33:$M$33</c:f>
              <c:numCache>
                <c:formatCode>#\ ##0.000</c:formatCode>
                <c:ptCount val="12"/>
                <c:pt idx="0">
                  <c:v>2.823</c:v>
                </c:pt>
                <c:pt idx="1">
                  <c:v>2.204</c:v>
                </c:pt>
                <c:pt idx="2">
                  <c:v>1.213</c:v>
                </c:pt>
                <c:pt idx="3">
                  <c:v>0.912</c:v>
                </c:pt>
                <c:pt idx="4">
                  <c:v>0.866</c:v>
                </c:pt>
                <c:pt idx="5">
                  <c:v>0.87</c:v>
                </c:pt>
                <c:pt idx="6">
                  <c:v>4.261</c:v>
                </c:pt>
                <c:pt idx="7">
                  <c:v>14.821</c:v>
                </c:pt>
                <c:pt idx="8">
                  <c:v>14.369</c:v>
                </c:pt>
                <c:pt idx="9">
                  <c:v>12.286</c:v>
                </c:pt>
                <c:pt idx="10">
                  <c:v>6.214</c:v>
                </c:pt>
                <c:pt idx="11">
                  <c:v>3.252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41835400"/>
        <c:axId val="-2141832392"/>
      </c:barChart>
      <c:catAx>
        <c:axId val="-2141835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1832392"/>
        <c:crosses val="autoZero"/>
        <c:auto val="1"/>
        <c:lblAlgn val="ctr"/>
        <c:lblOffset val="100"/>
        <c:noMultiLvlLbl val="0"/>
      </c:catAx>
      <c:valAx>
        <c:axId val="-2141832392"/>
        <c:scaling>
          <c:orientation val="minMax"/>
        </c:scaling>
        <c:delete val="0"/>
        <c:axPos val="l"/>
        <c:majorGridlines/>
        <c:numFmt formatCode="#,##0.0" sourceLinked="0"/>
        <c:majorTickMark val="none"/>
        <c:minorTickMark val="none"/>
        <c:tickLblPos val="nextTo"/>
        <c:crossAx val="-2141835400"/>
        <c:crosses val="autoZero"/>
        <c:crossBetween val="between"/>
        <c:majorUnit val="2.5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'Montana Grafiken'!$A$63</c:f>
              <c:strCache>
                <c:ptCount val="1"/>
                <c:pt idx="0">
                  <c:v>Restwasser (Natur)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'Montana Grafiken'!$B$63:$M$63</c:f>
              <c:numCache>
                <c:formatCode>#\ ##0.000</c:formatCode>
                <c:ptCount val="12"/>
                <c:pt idx="0">
                  <c:v>0.7651584</c:v>
                </c:pt>
                <c:pt idx="1">
                  <c:v>0.7651584</c:v>
                </c:pt>
                <c:pt idx="2">
                  <c:v>0.7651584</c:v>
                </c:pt>
                <c:pt idx="3">
                  <c:v>0.7651584</c:v>
                </c:pt>
                <c:pt idx="4">
                  <c:v>0.7651584</c:v>
                </c:pt>
                <c:pt idx="5">
                  <c:v>0.7651584</c:v>
                </c:pt>
                <c:pt idx="6">
                  <c:v>0.7651584</c:v>
                </c:pt>
                <c:pt idx="7">
                  <c:v>0.7651584</c:v>
                </c:pt>
                <c:pt idx="8">
                  <c:v>0.7651584</c:v>
                </c:pt>
                <c:pt idx="9">
                  <c:v>0.7651584</c:v>
                </c:pt>
                <c:pt idx="10">
                  <c:v>0.7651584</c:v>
                </c:pt>
                <c:pt idx="11">
                  <c:v>0.7651584</c:v>
                </c:pt>
              </c:numCache>
            </c:numRef>
          </c:val>
        </c:ser>
        <c:ser>
          <c:idx val="1"/>
          <c:order val="1"/>
          <c:tx>
            <c:strRef>
              <c:f>'Montana Grafiken'!$A$64</c:f>
              <c:strCache>
                <c:ptCount val="1"/>
                <c:pt idx="0">
                  <c:v>Trinkwasser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'Montana Grafiken'!$B$64:$M$64</c:f>
              <c:numCache>
                <c:formatCode>#\ ##0.000</c:formatCode>
                <c:ptCount val="12"/>
                <c:pt idx="0">
                  <c:v>0.4652223805</c:v>
                </c:pt>
                <c:pt idx="1">
                  <c:v>0.486486375</c:v>
                </c:pt>
                <c:pt idx="2">
                  <c:v>0.5176275875</c:v>
                </c:pt>
                <c:pt idx="3">
                  <c:v>0.4843473805</c:v>
                </c:pt>
                <c:pt idx="4">
                  <c:v>0.443172634</c:v>
                </c:pt>
                <c:pt idx="5">
                  <c:v>0.4798473805</c:v>
                </c:pt>
                <c:pt idx="6">
                  <c:v>0.453372465</c:v>
                </c:pt>
                <c:pt idx="7">
                  <c:v>0.4637223805</c:v>
                </c:pt>
                <c:pt idx="8">
                  <c:v>0.508986375</c:v>
                </c:pt>
                <c:pt idx="9">
                  <c:v>0.5251275875</c:v>
                </c:pt>
                <c:pt idx="10">
                  <c:v>0.5243775875</c:v>
                </c:pt>
                <c:pt idx="11">
                  <c:v>0.498861375</c:v>
                </c:pt>
              </c:numCache>
            </c:numRef>
          </c:val>
        </c:ser>
        <c:ser>
          <c:idx val="2"/>
          <c:order val="2"/>
          <c:tx>
            <c:strRef>
              <c:f>'Montana Grafiken'!$A$65</c:f>
              <c:strCache>
                <c:ptCount val="1"/>
                <c:pt idx="0">
                  <c:v>Übrige Industrie und Gewerbe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'Montana Grafiken'!$B$65:$M$65</c:f>
              <c:numCache>
                <c:formatCode>#\ ##0.000</c:formatCode>
                <c:ptCount val="12"/>
                <c:pt idx="0">
                  <c:v>0.4652223805</c:v>
                </c:pt>
                <c:pt idx="1">
                  <c:v>0.486486375</c:v>
                </c:pt>
                <c:pt idx="2">
                  <c:v>0.5176275875</c:v>
                </c:pt>
                <c:pt idx="3">
                  <c:v>0.4843473805</c:v>
                </c:pt>
                <c:pt idx="4">
                  <c:v>0.443172634</c:v>
                </c:pt>
                <c:pt idx="5">
                  <c:v>0.4798473805</c:v>
                </c:pt>
                <c:pt idx="6">
                  <c:v>0.453372465</c:v>
                </c:pt>
                <c:pt idx="7">
                  <c:v>0.4637223805</c:v>
                </c:pt>
                <c:pt idx="8">
                  <c:v>0.508986375</c:v>
                </c:pt>
                <c:pt idx="9">
                  <c:v>0.5251275875</c:v>
                </c:pt>
                <c:pt idx="10">
                  <c:v>0.5243775875</c:v>
                </c:pt>
                <c:pt idx="11">
                  <c:v>0.498861375</c:v>
                </c:pt>
              </c:numCache>
            </c:numRef>
          </c:val>
        </c:ser>
        <c:ser>
          <c:idx val="3"/>
          <c:order val="3"/>
          <c:tx>
            <c:strRef>
              <c:f>'Montana Grafiken'!$A$66</c:f>
              <c:strCache>
                <c:ptCount val="1"/>
                <c:pt idx="0">
                  <c:v>Bewässerung</c:v>
                </c:pt>
              </c:strCache>
            </c:strRef>
          </c:tx>
          <c:spPr>
            <a:solidFill>
              <a:srgbClr val="FC8604"/>
            </a:solidFill>
          </c:spPr>
          <c:invertIfNegative val="0"/>
          <c:val>
            <c:numRef>
              <c:f>'Montana Grafiken'!$B$66:$M$66</c:f>
              <c:numCache>
                <c:formatCode>#\ ##0.000</c:formatCode>
                <c:ptCount val="12"/>
                <c:pt idx="0">
                  <c:v>0.3975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0.27825</c:v>
                </c:pt>
                <c:pt idx="7">
                  <c:v>0.377625</c:v>
                </c:pt>
                <c:pt idx="8">
                  <c:v>0.616125</c:v>
                </c:pt>
                <c:pt idx="9">
                  <c:v>1.113</c:v>
                </c:pt>
                <c:pt idx="10">
                  <c:v>1.1925</c:v>
                </c:pt>
                <c:pt idx="11">
                  <c:v>0.91425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1"/>
        <c:overlap val="100"/>
        <c:axId val="-2141796456"/>
        <c:axId val="-2141793336"/>
      </c:barChart>
      <c:catAx>
        <c:axId val="-214179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793336"/>
        <c:crosses val="autoZero"/>
        <c:auto val="1"/>
        <c:lblAlgn val="ctr"/>
        <c:lblOffset val="100"/>
        <c:noMultiLvlLbl val="0"/>
      </c:catAx>
      <c:valAx>
        <c:axId val="-2141793336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-2141796456"/>
        <c:crosses val="autoZero"/>
        <c:crossBetween val="between"/>
        <c:majorUnit val="2.5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'Montana Grafiken'!$A$61</c:f>
              <c:strCache>
                <c:ptCount val="1"/>
                <c:pt idx="0">
                  <c:v>Abfluss Ostgebiete</c:v>
                </c:pt>
              </c:strCache>
            </c:strRef>
          </c:tx>
          <c:spPr>
            <a:solidFill>
              <a:srgbClr val="0F273D"/>
            </a:solidFill>
          </c:spPr>
          <c:invertIfNegative val="0"/>
          <c:val>
            <c:numRef>
              <c:f>'Montana Grafiken'!$B$61:$M$61</c:f>
              <c:numCache>
                <c:formatCode>#\ ##0.000</c:formatCode>
                <c:ptCount val="12"/>
                <c:pt idx="0">
                  <c:v>2.5407</c:v>
                </c:pt>
                <c:pt idx="1">
                  <c:v>2.3142</c:v>
                </c:pt>
                <c:pt idx="2">
                  <c:v>1.27365</c:v>
                </c:pt>
                <c:pt idx="3">
                  <c:v>0.9576</c:v>
                </c:pt>
                <c:pt idx="4">
                  <c:v>0.9093</c:v>
                </c:pt>
                <c:pt idx="5">
                  <c:v>0.9135</c:v>
                </c:pt>
                <c:pt idx="6">
                  <c:v>4.47405</c:v>
                </c:pt>
                <c:pt idx="7">
                  <c:v>13.1389</c:v>
                </c:pt>
                <c:pt idx="8">
                  <c:v>12.5321</c:v>
                </c:pt>
                <c:pt idx="9">
                  <c:v>10.4574</c:v>
                </c:pt>
                <c:pt idx="10">
                  <c:v>4.792600000000001</c:v>
                </c:pt>
                <c:pt idx="11">
                  <c:v>2.4268</c:v>
                </c:pt>
              </c:numCache>
            </c:numRef>
          </c:val>
        </c:ser>
        <c:ser>
          <c:idx val="0"/>
          <c:order val="1"/>
          <c:tx>
            <c:strRef>
              <c:f>'Montana Grafiken'!$A$60</c:f>
              <c:strCache>
                <c:ptCount val="1"/>
                <c:pt idx="0">
                  <c:v>Abfluss Westgebiete (Tseuzier)</c:v>
                </c:pt>
              </c:strCache>
            </c:strRef>
          </c:tx>
          <c:spPr>
            <a:solidFill>
              <a:srgbClr val="0F273D"/>
            </a:solidFill>
          </c:spPr>
          <c:invertIfNegative val="0"/>
          <c:val>
            <c:numRef>
              <c:f>'Montana Grafiken'!$E$60:$M$60</c:f>
              <c:numCache>
                <c:formatCode>#\ ##0.000</c:formatCode>
                <c:ptCount val="9"/>
                <c:pt idx="0">
                  <c:v>0.0</c:v>
                </c:pt>
                <c:pt idx="1">
                  <c:v>1.05</c:v>
                </c:pt>
                <c:pt idx="2">
                  <c:v>1.26</c:v>
                </c:pt>
                <c:pt idx="3">
                  <c:v>4.2</c:v>
                </c:pt>
                <c:pt idx="4">
                  <c:v>7.0</c:v>
                </c:pt>
                <c:pt idx="5">
                  <c:v>22.1</c:v>
                </c:pt>
                <c:pt idx="6">
                  <c:v>17.4</c:v>
                </c:pt>
                <c:pt idx="7">
                  <c:v>9.1</c:v>
                </c:pt>
                <c:pt idx="8">
                  <c:v>4.180000000000001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41769496"/>
        <c:axId val="-2141766520"/>
      </c:barChart>
      <c:catAx>
        <c:axId val="-2141769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1766520"/>
        <c:crosses val="autoZero"/>
        <c:auto val="1"/>
        <c:lblAlgn val="ctr"/>
        <c:lblOffset val="100"/>
        <c:noMultiLvlLbl val="0"/>
      </c:catAx>
      <c:valAx>
        <c:axId val="-2141766520"/>
        <c:scaling>
          <c:orientation val="minMax"/>
        </c:scaling>
        <c:delete val="0"/>
        <c:axPos val="l"/>
        <c:majorGridlines/>
        <c:numFmt formatCode="#,##0.0" sourceLinked="0"/>
        <c:majorTickMark val="none"/>
        <c:minorTickMark val="none"/>
        <c:tickLblPos val="nextTo"/>
        <c:crossAx val="-214176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val>
            <c:numRef>
              <c:f>'Montana Grafiken'!$B$97:$M$97</c:f>
              <c:numCache>
                <c:formatCode>#\ ##0.000</c:formatCode>
                <c:ptCount val="12"/>
                <c:pt idx="0">
                  <c:v>0.7651584</c:v>
                </c:pt>
                <c:pt idx="1">
                  <c:v>0.7651584</c:v>
                </c:pt>
                <c:pt idx="2">
                  <c:v>0.7651584</c:v>
                </c:pt>
                <c:pt idx="3">
                  <c:v>0.7651584</c:v>
                </c:pt>
                <c:pt idx="4">
                  <c:v>0.7651584</c:v>
                </c:pt>
                <c:pt idx="5">
                  <c:v>0.7651584</c:v>
                </c:pt>
                <c:pt idx="6">
                  <c:v>0.7651584</c:v>
                </c:pt>
                <c:pt idx="7">
                  <c:v>0.7651584</c:v>
                </c:pt>
                <c:pt idx="8">
                  <c:v>0.7651584</c:v>
                </c:pt>
                <c:pt idx="9">
                  <c:v>0.7651584</c:v>
                </c:pt>
                <c:pt idx="10">
                  <c:v>0.7651584</c:v>
                </c:pt>
                <c:pt idx="11">
                  <c:v>0.7651584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'Montana Grafiken'!$B$98:$M$98</c:f>
              <c:numCache>
                <c:formatCode>#\ ##0.000</c:formatCode>
                <c:ptCount val="12"/>
                <c:pt idx="0">
                  <c:v>0.4652223805</c:v>
                </c:pt>
                <c:pt idx="1">
                  <c:v>0.54459474</c:v>
                </c:pt>
                <c:pt idx="2">
                  <c:v>0.577672898</c:v>
                </c:pt>
                <c:pt idx="3">
                  <c:v>0.4843473805</c:v>
                </c:pt>
                <c:pt idx="4">
                  <c:v>0.443172634</c:v>
                </c:pt>
                <c:pt idx="5">
                  <c:v>0.4798473805</c:v>
                </c:pt>
                <c:pt idx="6">
                  <c:v>0.453372465</c:v>
                </c:pt>
                <c:pt idx="7">
                  <c:v>0.4637223805</c:v>
                </c:pt>
                <c:pt idx="8">
                  <c:v>0.56709474</c:v>
                </c:pt>
                <c:pt idx="9">
                  <c:v>0.585172898</c:v>
                </c:pt>
                <c:pt idx="10">
                  <c:v>0.584422898</c:v>
                </c:pt>
                <c:pt idx="11">
                  <c:v>0.55696974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'Montana Grafiken'!$B$99:$M$99</c:f>
              <c:numCache>
                <c:formatCode>#\ ##0.000</c:formatCode>
                <c:ptCount val="12"/>
                <c:pt idx="0">
                  <c:v>0.4652223805</c:v>
                </c:pt>
                <c:pt idx="1">
                  <c:v>0.54459474</c:v>
                </c:pt>
                <c:pt idx="2">
                  <c:v>0.577672898</c:v>
                </c:pt>
                <c:pt idx="3">
                  <c:v>0.4843473805</c:v>
                </c:pt>
                <c:pt idx="4">
                  <c:v>0.443172634</c:v>
                </c:pt>
                <c:pt idx="5">
                  <c:v>0.4798473805</c:v>
                </c:pt>
                <c:pt idx="6">
                  <c:v>0.453372465</c:v>
                </c:pt>
                <c:pt idx="7">
                  <c:v>0.4637223805</c:v>
                </c:pt>
                <c:pt idx="8">
                  <c:v>0.56709474</c:v>
                </c:pt>
                <c:pt idx="9">
                  <c:v>0.585172898</c:v>
                </c:pt>
                <c:pt idx="10">
                  <c:v>0.584422898</c:v>
                </c:pt>
                <c:pt idx="11">
                  <c:v>0.55696974</c:v>
                </c:pt>
              </c:numCache>
            </c:numRef>
          </c:val>
        </c:ser>
        <c:ser>
          <c:idx val="3"/>
          <c:order val="3"/>
          <c:spPr>
            <a:solidFill>
              <a:srgbClr val="FC8604"/>
            </a:solidFill>
          </c:spPr>
          <c:invertIfNegative val="0"/>
          <c:val>
            <c:numRef>
              <c:f>'Montana Grafiken'!$B$100:$M$100</c:f>
              <c:numCache>
                <c:formatCode>#\ ##0.000</c:formatCode>
                <c:ptCount val="12"/>
                <c:pt idx="0">
                  <c:v>0.798975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0.1331625</c:v>
                </c:pt>
                <c:pt idx="6">
                  <c:v>0.659154375</c:v>
                </c:pt>
                <c:pt idx="7">
                  <c:v>0.55129275</c:v>
                </c:pt>
                <c:pt idx="8">
                  <c:v>1.21177875</c:v>
                </c:pt>
                <c:pt idx="9">
                  <c:v>2.246451375</c:v>
                </c:pt>
                <c:pt idx="10">
                  <c:v>2.371624125</c:v>
                </c:pt>
                <c:pt idx="11">
                  <c:v>1.841637375</c:v>
                </c:pt>
              </c:numCache>
            </c:numRef>
          </c:val>
        </c:ser>
        <c:ser>
          <c:idx val="4"/>
          <c:order val="4"/>
          <c:spPr>
            <a:pattFill prst="wdDnDiag">
              <a:fgClr>
                <a:srgbClr val="FC8604"/>
              </a:fgClr>
              <a:bgClr>
                <a:schemeClr val="bg1"/>
              </a:bgClr>
            </a:pattFill>
          </c:spPr>
          <c:invertIfNegative val="0"/>
          <c:val>
            <c:numRef>
              <c:f>'Montana Grafiken'!$B$101:$M$101</c:f>
              <c:numCache>
                <c:formatCode>#\ ##0.000</c:formatCode>
                <c:ptCount val="12"/>
                <c:pt idx="0">
                  <c:v>0.393525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0.0655875</c:v>
                </c:pt>
                <c:pt idx="6">
                  <c:v>0.324658125</c:v>
                </c:pt>
                <c:pt idx="7">
                  <c:v>0.27153225</c:v>
                </c:pt>
                <c:pt idx="8">
                  <c:v>0.59684625</c:v>
                </c:pt>
                <c:pt idx="9">
                  <c:v>1.106461125</c:v>
                </c:pt>
                <c:pt idx="10">
                  <c:v>1.168113375</c:v>
                </c:pt>
                <c:pt idx="11">
                  <c:v>0.907075125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0"/>
        <c:overlap val="100"/>
        <c:axId val="-2141729432"/>
        <c:axId val="-2141726376"/>
      </c:barChart>
      <c:catAx>
        <c:axId val="-214172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726376"/>
        <c:crosses val="autoZero"/>
        <c:auto val="1"/>
        <c:lblAlgn val="ctr"/>
        <c:lblOffset val="100"/>
        <c:noMultiLvlLbl val="0"/>
      </c:catAx>
      <c:valAx>
        <c:axId val="-2141726376"/>
        <c:scaling>
          <c:orientation val="minMax"/>
        </c:scaling>
        <c:delete val="0"/>
        <c:axPos val="l"/>
        <c:majorGridlines/>
        <c:numFmt formatCode="#\ ##0.000" sourceLinked="1"/>
        <c:majorTickMark val="out"/>
        <c:minorTickMark val="none"/>
        <c:tickLblPos val="nextTo"/>
        <c:crossAx val="-2141729432"/>
        <c:crosses val="autoZero"/>
        <c:crossBetween val="between"/>
        <c:majorUnit val="2.5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'Montana Grafiken'!$A$91</c:f>
              <c:strCache>
                <c:ptCount val="1"/>
                <c:pt idx="0">
                  <c:v>Abfluss - Darstellg.ohne Abgabe</c:v>
                </c:pt>
              </c:strCache>
            </c:strRef>
          </c:tx>
          <c:spPr>
            <a:solidFill>
              <a:srgbClr val="0F273D"/>
            </a:solidFill>
          </c:spPr>
          <c:invertIfNegative val="0"/>
          <c:val>
            <c:numRef>
              <c:f>'Montana Grafiken'!$B$91:$M$91</c:f>
              <c:numCache>
                <c:formatCode>0.000</c:formatCode>
                <c:ptCount val="12"/>
                <c:pt idx="0">
                  <c:v>8.9744</c:v>
                </c:pt>
                <c:pt idx="1">
                  <c:v>2.83765</c:v>
                </c:pt>
                <c:pt idx="2">
                  <c:v>2.603949999999999</c:v>
                </c:pt>
                <c:pt idx="3">
                  <c:v>0.8208</c:v>
                </c:pt>
                <c:pt idx="4">
                  <c:v>1.9627</c:v>
                </c:pt>
                <c:pt idx="5">
                  <c:v>1.9665</c:v>
                </c:pt>
                <c:pt idx="6">
                  <c:v>2.322949999999999</c:v>
                </c:pt>
                <c:pt idx="7">
                  <c:v>2.300000000000001</c:v>
                </c:pt>
                <c:pt idx="8">
                  <c:v>4.894400000000001</c:v>
                </c:pt>
                <c:pt idx="9">
                  <c:v>6.987200000000001</c:v>
                </c:pt>
                <c:pt idx="10">
                  <c:v>6.598400000000002</c:v>
                </c:pt>
                <c:pt idx="11">
                  <c:v>7.8208</c:v>
                </c:pt>
              </c:numCache>
            </c:numRef>
          </c:val>
        </c:ser>
        <c:ser>
          <c:idx val="1"/>
          <c:order val="1"/>
          <c:tx>
            <c:strRef>
              <c:f>'Montana Grafiken'!$A$92</c:f>
              <c:strCache>
                <c:ptCount val="1"/>
                <c:pt idx="0">
                  <c:v>Rückhalt</c:v>
                </c:pt>
              </c:strCache>
            </c:strRef>
          </c:tx>
          <c:spPr>
            <a:solidFill>
              <a:srgbClr val="A4088E"/>
            </a:solidFill>
          </c:spPr>
          <c:invertIfNegative val="0"/>
          <c:val>
            <c:numRef>
              <c:f>'Montana Grafiken'!$B$92:$M$92</c:f>
              <c:numCache>
                <c:formatCode>0.000</c:formatCode>
                <c:ptCount val="12"/>
                <c:pt idx="6">
                  <c:v>6.0</c:v>
                </c:pt>
                <c:pt idx="7">
                  <c:v>13.0</c:v>
                </c:pt>
                <c:pt idx="8">
                  <c:v>15.0</c:v>
                </c:pt>
                <c:pt idx="9">
                  <c:v>6.0</c:v>
                </c:pt>
              </c:numCache>
            </c:numRef>
          </c:val>
        </c:ser>
        <c:ser>
          <c:idx val="2"/>
          <c:order val="2"/>
          <c:tx>
            <c:strRef>
              <c:f>'Montana Grafiken'!$A$93</c:f>
              <c:strCache>
                <c:ptCount val="1"/>
                <c:pt idx="0">
                  <c:v>Abgabe</c:v>
                </c:pt>
              </c:strCache>
            </c:strRef>
          </c:tx>
          <c:spPr>
            <a:solidFill>
              <a:srgbClr val="06947C"/>
            </a:solidFill>
          </c:spPr>
          <c:invertIfNegative val="0"/>
          <c:val>
            <c:numRef>
              <c:f>'Montana Grafiken'!$B$93:$M$93</c:f>
              <c:numCache>
                <c:formatCode>0.000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12.0</c:v>
                </c:pt>
                <c:pt idx="3">
                  <c:v>12.0</c:v>
                </c:pt>
                <c:pt idx="4">
                  <c:v>2.0</c:v>
                </c:pt>
                <c:pt idx="5">
                  <c:v>0.0</c:v>
                </c:pt>
                <c:pt idx="10">
                  <c:v>4.0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41696088"/>
        <c:axId val="-2141693112"/>
      </c:barChart>
      <c:catAx>
        <c:axId val="-2141696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1693112"/>
        <c:crosses val="autoZero"/>
        <c:auto val="1"/>
        <c:lblAlgn val="ctr"/>
        <c:lblOffset val="100"/>
        <c:noMultiLvlLbl val="0"/>
      </c:catAx>
      <c:valAx>
        <c:axId val="-2141693112"/>
        <c:scaling>
          <c:orientation val="minMax"/>
        </c:scaling>
        <c:delete val="0"/>
        <c:axPos val="l"/>
        <c:majorGridlines/>
        <c:numFmt formatCode="#,##0.0" sourceLinked="0"/>
        <c:majorTickMark val="none"/>
        <c:minorTickMark val="none"/>
        <c:tickLblPos val="nextTo"/>
        <c:crossAx val="-2141696088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'Montana Grafiken'!$A$6</c:f>
              <c:strCache>
                <c:ptCount val="1"/>
                <c:pt idx="0">
                  <c:v>Abfluss Ostgebiete</c:v>
                </c:pt>
              </c:strCache>
            </c:strRef>
          </c:tx>
          <c:spPr>
            <a:solidFill>
              <a:srgbClr val="0F273D"/>
            </a:solidFill>
          </c:spPr>
          <c:invertIfNegative val="0"/>
          <c:val>
            <c:numRef>
              <c:f>'Montana Grafiken'!$B$6:$M$6</c:f>
              <c:numCache>
                <c:formatCode>#\ ##0.000</c:formatCode>
                <c:ptCount val="12"/>
                <c:pt idx="0">
                  <c:v>2.7</c:v>
                </c:pt>
                <c:pt idx="1">
                  <c:v>2.329</c:v>
                </c:pt>
                <c:pt idx="2">
                  <c:v>1.294</c:v>
                </c:pt>
                <c:pt idx="3">
                  <c:v>0.836</c:v>
                </c:pt>
                <c:pt idx="4">
                  <c:v>0.647</c:v>
                </c:pt>
                <c:pt idx="5">
                  <c:v>0.731</c:v>
                </c:pt>
                <c:pt idx="6">
                  <c:v>4.577</c:v>
                </c:pt>
                <c:pt idx="7">
                  <c:v>13.087</c:v>
                </c:pt>
                <c:pt idx="8">
                  <c:v>14.026</c:v>
                </c:pt>
                <c:pt idx="9">
                  <c:v>13.262</c:v>
                </c:pt>
                <c:pt idx="10">
                  <c:v>7.072</c:v>
                </c:pt>
                <c:pt idx="11">
                  <c:v>3.104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72810344"/>
        <c:axId val="2072522696"/>
      </c:barChart>
      <c:catAx>
        <c:axId val="2072810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2522696"/>
        <c:crosses val="autoZero"/>
        <c:auto val="1"/>
        <c:lblAlgn val="ctr"/>
        <c:lblOffset val="100"/>
        <c:noMultiLvlLbl val="0"/>
      </c:catAx>
      <c:valAx>
        <c:axId val="2072522696"/>
        <c:scaling>
          <c:orientation val="minMax"/>
        </c:scaling>
        <c:delete val="0"/>
        <c:axPos val="l"/>
        <c:majorGridlines/>
        <c:numFmt formatCode="#,##0.0" sourceLinked="0"/>
        <c:majorTickMark val="none"/>
        <c:minorTickMark val="none"/>
        <c:tickLblPos val="nextTo"/>
        <c:crossAx val="2072810344"/>
        <c:crosses val="autoZero"/>
        <c:crossBetween val="between"/>
        <c:majorUnit val="2.5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'Montana Grafiken'!$A$22</c:f>
              <c:strCache>
                <c:ptCount val="1"/>
                <c:pt idx="0">
                  <c:v>Restwasser (Natur)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'Montana Grafiken'!$B$22:$M$22</c:f>
              <c:numCache>
                <c:formatCode>#\ ##0.000</c:formatCode>
                <c:ptCount val="12"/>
                <c:pt idx="0">
                  <c:v>0.7651584</c:v>
                </c:pt>
                <c:pt idx="1">
                  <c:v>0.7651584</c:v>
                </c:pt>
                <c:pt idx="2">
                  <c:v>0.7651584</c:v>
                </c:pt>
                <c:pt idx="3">
                  <c:v>0.7651584</c:v>
                </c:pt>
                <c:pt idx="4">
                  <c:v>0.7651584</c:v>
                </c:pt>
                <c:pt idx="5">
                  <c:v>0.7651584</c:v>
                </c:pt>
                <c:pt idx="6">
                  <c:v>0.7651584</c:v>
                </c:pt>
                <c:pt idx="7">
                  <c:v>0.7651584</c:v>
                </c:pt>
                <c:pt idx="8">
                  <c:v>0.7651584</c:v>
                </c:pt>
                <c:pt idx="9">
                  <c:v>0.7651584</c:v>
                </c:pt>
                <c:pt idx="10">
                  <c:v>0.7651584</c:v>
                </c:pt>
                <c:pt idx="11">
                  <c:v>0.7651584</c:v>
                </c:pt>
              </c:numCache>
            </c:numRef>
          </c:val>
        </c:ser>
        <c:ser>
          <c:idx val="1"/>
          <c:order val="1"/>
          <c:tx>
            <c:strRef>
              <c:f>'Montana Grafiken'!$A$23</c:f>
              <c:strCache>
                <c:ptCount val="1"/>
                <c:pt idx="0">
                  <c:v>Trinkwasser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'Montana Grafiken'!$B$23:$M$23</c:f>
              <c:numCache>
                <c:formatCode>#\ ##0.000</c:formatCode>
                <c:ptCount val="12"/>
                <c:pt idx="0">
                  <c:v>0.321695</c:v>
                </c:pt>
                <c:pt idx="1">
                  <c:v>0.3636</c:v>
                </c:pt>
                <c:pt idx="2">
                  <c:v>0.390645</c:v>
                </c:pt>
                <c:pt idx="3">
                  <c:v>0.34082</c:v>
                </c:pt>
                <c:pt idx="4">
                  <c:v>0.313535</c:v>
                </c:pt>
                <c:pt idx="5">
                  <c:v>0.33632</c:v>
                </c:pt>
                <c:pt idx="6">
                  <c:v>0.314475</c:v>
                </c:pt>
                <c:pt idx="7">
                  <c:v>0.320195</c:v>
                </c:pt>
                <c:pt idx="8">
                  <c:v>0.3861</c:v>
                </c:pt>
                <c:pt idx="9">
                  <c:v>0.398145</c:v>
                </c:pt>
                <c:pt idx="10">
                  <c:v>0.397395</c:v>
                </c:pt>
                <c:pt idx="11">
                  <c:v>0.375975</c:v>
                </c:pt>
              </c:numCache>
            </c:numRef>
          </c:val>
        </c:ser>
        <c:ser>
          <c:idx val="2"/>
          <c:order val="2"/>
          <c:tx>
            <c:strRef>
              <c:f>'Montana Grafiken'!$A$24</c:f>
              <c:strCache>
                <c:ptCount val="1"/>
                <c:pt idx="0">
                  <c:v>Übrige Industrie und Gewerbe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'Montana Grafiken'!$B$24:$M$24</c:f>
              <c:numCache>
                <c:formatCode>#\ ##0.000</c:formatCode>
                <c:ptCount val="12"/>
                <c:pt idx="0">
                  <c:v>0.321695</c:v>
                </c:pt>
                <c:pt idx="1">
                  <c:v>0.3636</c:v>
                </c:pt>
                <c:pt idx="2">
                  <c:v>0.390645</c:v>
                </c:pt>
                <c:pt idx="3">
                  <c:v>0.34082</c:v>
                </c:pt>
                <c:pt idx="4">
                  <c:v>0.313535</c:v>
                </c:pt>
                <c:pt idx="5">
                  <c:v>0.33632</c:v>
                </c:pt>
                <c:pt idx="6">
                  <c:v>0.314475</c:v>
                </c:pt>
                <c:pt idx="7">
                  <c:v>0.320195</c:v>
                </c:pt>
                <c:pt idx="8">
                  <c:v>0.3861</c:v>
                </c:pt>
                <c:pt idx="9">
                  <c:v>0.398145</c:v>
                </c:pt>
                <c:pt idx="10">
                  <c:v>0.397395</c:v>
                </c:pt>
                <c:pt idx="11">
                  <c:v>0.375975</c:v>
                </c:pt>
              </c:numCache>
            </c:numRef>
          </c:val>
        </c:ser>
        <c:ser>
          <c:idx val="3"/>
          <c:order val="3"/>
          <c:tx>
            <c:strRef>
              <c:f>'Montana Grafiken'!$A$25</c:f>
              <c:strCache>
                <c:ptCount val="1"/>
                <c:pt idx="0">
                  <c:v>Bewässerung</c:v>
                </c:pt>
              </c:strCache>
            </c:strRef>
          </c:tx>
          <c:spPr>
            <a:solidFill>
              <a:srgbClr val="FC8604"/>
            </a:solidFill>
          </c:spPr>
          <c:invertIfNegative val="0"/>
          <c:val>
            <c:numRef>
              <c:f>'Montana Grafiken'!$B$25:$M$25</c:f>
              <c:numCache>
                <c:formatCode>#\ ##0.000</c:formatCode>
                <c:ptCount val="12"/>
                <c:pt idx="0">
                  <c:v>0.6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</c:v>
                </c:pt>
                <c:pt idx="6">
                  <c:v>0.495</c:v>
                </c:pt>
                <c:pt idx="7">
                  <c:v>0.414</c:v>
                </c:pt>
                <c:pt idx="8">
                  <c:v>0.91</c:v>
                </c:pt>
                <c:pt idx="9">
                  <c:v>1.687</c:v>
                </c:pt>
                <c:pt idx="10">
                  <c:v>1.781</c:v>
                </c:pt>
                <c:pt idx="11">
                  <c:v>1.383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0"/>
        <c:overlap val="100"/>
        <c:axId val="2072535016"/>
        <c:axId val="2072536424"/>
      </c:barChart>
      <c:catAx>
        <c:axId val="207253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536424"/>
        <c:crosses val="autoZero"/>
        <c:auto val="1"/>
        <c:lblAlgn val="ctr"/>
        <c:lblOffset val="100"/>
        <c:noMultiLvlLbl val="0"/>
      </c:catAx>
      <c:valAx>
        <c:axId val="2072536424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072535016"/>
        <c:crosses val="autoZero"/>
        <c:crossBetween val="between"/>
        <c:majorUnit val="2.5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F273D"/>
            </a:solidFill>
          </c:spPr>
          <c:invertIfNegative val="0"/>
          <c:val>
            <c:numRef>
              <c:f>'Montana Grafiken'!$B$20:$M$20</c:f>
              <c:numCache>
                <c:formatCode>#\ ##0.000</c:formatCode>
                <c:ptCount val="12"/>
                <c:pt idx="0">
                  <c:v>3.7</c:v>
                </c:pt>
                <c:pt idx="1">
                  <c:v>1.175</c:v>
                </c:pt>
                <c:pt idx="2">
                  <c:v>0.841</c:v>
                </c:pt>
                <c:pt idx="3">
                  <c:v>1.128</c:v>
                </c:pt>
                <c:pt idx="4">
                  <c:v>0.751</c:v>
                </c:pt>
                <c:pt idx="5">
                  <c:v>0.825</c:v>
                </c:pt>
                <c:pt idx="6">
                  <c:v>6.604</c:v>
                </c:pt>
                <c:pt idx="7">
                  <c:v>6.026</c:v>
                </c:pt>
                <c:pt idx="8">
                  <c:v>8.613</c:v>
                </c:pt>
                <c:pt idx="9">
                  <c:v>6.266</c:v>
                </c:pt>
                <c:pt idx="10">
                  <c:v>2.23</c:v>
                </c:pt>
                <c:pt idx="11">
                  <c:v>2.695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44247272"/>
        <c:axId val="-2144336840"/>
      </c:barChart>
      <c:catAx>
        <c:axId val="-2144247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4336840"/>
        <c:crosses val="autoZero"/>
        <c:auto val="1"/>
        <c:lblAlgn val="ctr"/>
        <c:lblOffset val="100"/>
        <c:noMultiLvlLbl val="0"/>
      </c:catAx>
      <c:valAx>
        <c:axId val="-2144336840"/>
        <c:scaling>
          <c:orientation val="minMax"/>
        </c:scaling>
        <c:delete val="0"/>
        <c:axPos val="l"/>
        <c:majorGridlines/>
        <c:numFmt formatCode="#,##0.0" sourceLinked="0"/>
        <c:majorTickMark val="none"/>
        <c:minorTickMark val="none"/>
        <c:tickLblPos val="nextTo"/>
        <c:crossAx val="-2144247272"/>
        <c:crosses val="autoZero"/>
        <c:crossBetween val="between"/>
        <c:majorUnit val="2.5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'Montana Grafiken'!$A$49</c:f>
              <c:strCache>
                <c:ptCount val="1"/>
                <c:pt idx="0">
                  <c:v>Restwasser (Natur) -  Ostgebiete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'Montana Grafiken'!$B$49:$M$49</c:f>
              <c:numCache>
                <c:formatCode>#\ ##0.000</c:formatCode>
                <c:ptCount val="12"/>
                <c:pt idx="0">
                  <c:v>0.7651584</c:v>
                </c:pt>
                <c:pt idx="1">
                  <c:v>0.7651584</c:v>
                </c:pt>
                <c:pt idx="2">
                  <c:v>0.7651584</c:v>
                </c:pt>
                <c:pt idx="3">
                  <c:v>0.7651584</c:v>
                </c:pt>
                <c:pt idx="4">
                  <c:v>0.7651584</c:v>
                </c:pt>
                <c:pt idx="5">
                  <c:v>0.7651584</c:v>
                </c:pt>
                <c:pt idx="6">
                  <c:v>0.7651584</c:v>
                </c:pt>
                <c:pt idx="7">
                  <c:v>0.7651584</c:v>
                </c:pt>
                <c:pt idx="8">
                  <c:v>0.7651584</c:v>
                </c:pt>
                <c:pt idx="9">
                  <c:v>0.7651584</c:v>
                </c:pt>
                <c:pt idx="10">
                  <c:v>0.7651584</c:v>
                </c:pt>
                <c:pt idx="11">
                  <c:v>0.7651584</c:v>
                </c:pt>
              </c:numCache>
            </c:numRef>
          </c:val>
        </c:ser>
        <c:ser>
          <c:idx val="1"/>
          <c:order val="1"/>
          <c:tx>
            <c:strRef>
              <c:f>'Montana Grafiken'!$A$50</c:f>
              <c:strCache>
                <c:ptCount val="1"/>
                <c:pt idx="0">
                  <c:v>Trinkwasser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'Montana Grafiken'!$B$50:$M$50</c:f>
              <c:numCache>
                <c:formatCode>#\ ##0.000</c:formatCode>
                <c:ptCount val="12"/>
                <c:pt idx="0">
                  <c:v>0.3961477</c:v>
                </c:pt>
                <c:pt idx="1">
                  <c:v>0.4537185</c:v>
                </c:pt>
                <c:pt idx="2">
                  <c:v>0.48376745</c:v>
                </c:pt>
                <c:pt idx="3">
                  <c:v>0.4152727</c:v>
                </c:pt>
                <c:pt idx="4">
                  <c:v>0.3807826</c:v>
                </c:pt>
                <c:pt idx="5">
                  <c:v>0.4107727</c:v>
                </c:pt>
                <c:pt idx="6">
                  <c:v>0.386526</c:v>
                </c:pt>
                <c:pt idx="7">
                  <c:v>0.3946477</c:v>
                </c:pt>
                <c:pt idx="8">
                  <c:v>0.4762185</c:v>
                </c:pt>
                <c:pt idx="9">
                  <c:v>0.49126745</c:v>
                </c:pt>
                <c:pt idx="10">
                  <c:v>0.49051745</c:v>
                </c:pt>
                <c:pt idx="11">
                  <c:v>0.4660935</c:v>
                </c:pt>
              </c:numCache>
            </c:numRef>
          </c:val>
        </c:ser>
        <c:ser>
          <c:idx val="2"/>
          <c:order val="2"/>
          <c:tx>
            <c:strRef>
              <c:f>'Montana Grafiken'!$A$51</c:f>
              <c:strCache>
                <c:ptCount val="1"/>
                <c:pt idx="0">
                  <c:v>Übrige Industrie und Gewerbe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'Montana Grafiken'!$B$51:$M$51</c:f>
              <c:numCache>
                <c:formatCode>#\ ##0.000</c:formatCode>
                <c:ptCount val="12"/>
                <c:pt idx="0">
                  <c:v>0.3961477</c:v>
                </c:pt>
                <c:pt idx="1">
                  <c:v>0.4537185</c:v>
                </c:pt>
                <c:pt idx="2">
                  <c:v>0.48376745</c:v>
                </c:pt>
                <c:pt idx="3">
                  <c:v>0.4152727</c:v>
                </c:pt>
                <c:pt idx="4">
                  <c:v>0.3807826</c:v>
                </c:pt>
                <c:pt idx="5">
                  <c:v>0.4107727</c:v>
                </c:pt>
                <c:pt idx="6">
                  <c:v>0.386526</c:v>
                </c:pt>
                <c:pt idx="7">
                  <c:v>0.3946477</c:v>
                </c:pt>
                <c:pt idx="8">
                  <c:v>0.4762185</c:v>
                </c:pt>
                <c:pt idx="9">
                  <c:v>0.49126745</c:v>
                </c:pt>
                <c:pt idx="10">
                  <c:v>0.49051745</c:v>
                </c:pt>
                <c:pt idx="11">
                  <c:v>0.4660935</c:v>
                </c:pt>
              </c:numCache>
            </c:numRef>
          </c:val>
        </c:ser>
        <c:ser>
          <c:idx val="3"/>
          <c:order val="3"/>
          <c:tx>
            <c:strRef>
              <c:f>'Montana Grafiken'!$A$52</c:f>
              <c:strCache>
                <c:ptCount val="1"/>
                <c:pt idx="0">
                  <c:v>Bewässerung</c:v>
                </c:pt>
              </c:strCache>
            </c:strRef>
          </c:tx>
          <c:spPr>
            <a:solidFill>
              <a:srgbClr val="FC8604"/>
            </a:solidFill>
          </c:spPr>
          <c:invertIfNegative val="0"/>
          <c:val>
            <c:numRef>
              <c:f>'Montana Grafiken'!$B$52:$M$52</c:f>
              <c:numCache>
                <c:formatCode>#\ ##0.000</c:formatCode>
                <c:ptCount val="12"/>
                <c:pt idx="0">
                  <c:v>0.795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0.1325</c:v>
                </c:pt>
                <c:pt idx="6">
                  <c:v>0.655875</c:v>
                </c:pt>
                <c:pt idx="7">
                  <c:v>0.54855</c:v>
                </c:pt>
                <c:pt idx="8">
                  <c:v>1.20575</c:v>
                </c:pt>
                <c:pt idx="9">
                  <c:v>2.235275</c:v>
                </c:pt>
                <c:pt idx="10">
                  <c:v>2.359825</c:v>
                </c:pt>
                <c:pt idx="11">
                  <c:v>1.832475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0"/>
        <c:overlap val="100"/>
        <c:axId val="-2141982824"/>
        <c:axId val="-2141979704"/>
      </c:barChart>
      <c:catAx>
        <c:axId val="-214198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979704"/>
        <c:crosses val="autoZero"/>
        <c:auto val="1"/>
        <c:lblAlgn val="ctr"/>
        <c:lblOffset val="100"/>
        <c:noMultiLvlLbl val="0"/>
      </c:catAx>
      <c:valAx>
        <c:axId val="-2141979704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-2141982824"/>
        <c:crosses val="autoZero"/>
        <c:crossBetween val="between"/>
        <c:majorUnit val="2.5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'Montana Grafiken'!$A$47</c:f>
              <c:strCache>
                <c:ptCount val="1"/>
                <c:pt idx="0">
                  <c:v>Abfluss Ostgebiete</c:v>
                </c:pt>
              </c:strCache>
            </c:strRef>
          </c:tx>
          <c:spPr>
            <a:solidFill>
              <a:srgbClr val="0F273D"/>
            </a:solidFill>
          </c:spPr>
          <c:invertIfNegative val="0"/>
          <c:val>
            <c:numRef>
              <c:f>'Montana Grafiken'!$B$47:$M$47</c:f>
              <c:numCache>
                <c:formatCode>#\ ##0.000</c:formatCode>
                <c:ptCount val="12"/>
                <c:pt idx="0">
                  <c:v>4.718</c:v>
                </c:pt>
                <c:pt idx="1">
                  <c:v>0.987</c:v>
                </c:pt>
                <c:pt idx="2">
                  <c:v>0.741</c:v>
                </c:pt>
                <c:pt idx="3">
                  <c:v>0.912</c:v>
                </c:pt>
                <c:pt idx="4">
                  <c:v>0.866</c:v>
                </c:pt>
                <c:pt idx="5">
                  <c:v>0.87</c:v>
                </c:pt>
                <c:pt idx="6">
                  <c:v>4.261</c:v>
                </c:pt>
                <c:pt idx="7">
                  <c:v>6.125</c:v>
                </c:pt>
                <c:pt idx="8">
                  <c:v>9.368</c:v>
                </c:pt>
                <c:pt idx="9">
                  <c:v>5.734</c:v>
                </c:pt>
                <c:pt idx="10">
                  <c:v>1.998</c:v>
                </c:pt>
                <c:pt idx="11">
                  <c:v>3.026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41959128"/>
        <c:axId val="-2141956120"/>
      </c:barChart>
      <c:catAx>
        <c:axId val="-2141959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1956120"/>
        <c:crosses val="autoZero"/>
        <c:auto val="1"/>
        <c:lblAlgn val="ctr"/>
        <c:lblOffset val="100"/>
        <c:noMultiLvlLbl val="0"/>
      </c:catAx>
      <c:valAx>
        <c:axId val="-2141956120"/>
        <c:scaling>
          <c:orientation val="minMax"/>
        </c:scaling>
        <c:delete val="0"/>
        <c:axPos val="l"/>
        <c:majorGridlines/>
        <c:numFmt formatCode="#,##0.0" sourceLinked="0"/>
        <c:majorTickMark val="none"/>
        <c:minorTickMark val="none"/>
        <c:tickLblPos val="nextTo"/>
        <c:crossAx val="-2141959128"/>
        <c:crosses val="autoZero"/>
        <c:crossBetween val="between"/>
        <c:majorUnit val="2.5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'Montana Grafiken'!$A$79</c:f>
              <c:strCache>
                <c:ptCount val="1"/>
                <c:pt idx="0">
                  <c:v>Restwasser (Natur) -Ostgebiete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'Montana Grafiken'!$B$79:$M$79</c:f>
              <c:numCache>
                <c:formatCode>#\ ##0.000</c:formatCode>
                <c:ptCount val="12"/>
                <c:pt idx="0">
                  <c:v>0.7651584</c:v>
                </c:pt>
                <c:pt idx="1">
                  <c:v>0.7651584</c:v>
                </c:pt>
                <c:pt idx="2">
                  <c:v>0.7651584</c:v>
                </c:pt>
                <c:pt idx="3">
                  <c:v>0.7651584</c:v>
                </c:pt>
                <c:pt idx="4">
                  <c:v>0.7651584</c:v>
                </c:pt>
                <c:pt idx="5">
                  <c:v>0.7651584</c:v>
                </c:pt>
                <c:pt idx="6">
                  <c:v>0.7651584</c:v>
                </c:pt>
                <c:pt idx="7">
                  <c:v>0.7651584</c:v>
                </c:pt>
                <c:pt idx="8">
                  <c:v>0.7651584</c:v>
                </c:pt>
                <c:pt idx="9">
                  <c:v>0.7651584</c:v>
                </c:pt>
                <c:pt idx="10">
                  <c:v>0.7651584</c:v>
                </c:pt>
                <c:pt idx="11">
                  <c:v>0.7651584</c:v>
                </c:pt>
              </c:numCache>
            </c:numRef>
          </c:val>
        </c:ser>
        <c:ser>
          <c:idx val="1"/>
          <c:order val="1"/>
          <c:tx>
            <c:strRef>
              <c:f>'Montana Grafiken'!$A$80</c:f>
              <c:strCache>
                <c:ptCount val="1"/>
                <c:pt idx="0">
                  <c:v>Trinkwasser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'Montana Grafiken'!$B$80:$M$80</c:f>
              <c:numCache>
                <c:formatCode>#\ ##0.000</c:formatCode>
                <c:ptCount val="12"/>
                <c:pt idx="0">
                  <c:v>0.4652223805</c:v>
                </c:pt>
                <c:pt idx="1">
                  <c:v>0.54459474</c:v>
                </c:pt>
                <c:pt idx="2">
                  <c:v>0.577672898</c:v>
                </c:pt>
                <c:pt idx="3">
                  <c:v>0.4843473805</c:v>
                </c:pt>
                <c:pt idx="4">
                  <c:v>0.443172634</c:v>
                </c:pt>
                <c:pt idx="5">
                  <c:v>0.4798473805</c:v>
                </c:pt>
                <c:pt idx="6">
                  <c:v>0.453372465</c:v>
                </c:pt>
                <c:pt idx="7">
                  <c:v>0.4637223805</c:v>
                </c:pt>
                <c:pt idx="8">
                  <c:v>0.56709474</c:v>
                </c:pt>
                <c:pt idx="9">
                  <c:v>0.585172898</c:v>
                </c:pt>
                <c:pt idx="10">
                  <c:v>0.584422898</c:v>
                </c:pt>
                <c:pt idx="11">
                  <c:v>0.55696974</c:v>
                </c:pt>
              </c:numCache>
            </c:numRef>
          </c:val>
        </c:ser>
        <c:ser>
          <c:idx val="2"/>
          <c:order val="2"/>
          <c:tx>
            <c:strRef>
              <c:f>'Montana Grafiken'!$A$81</c:f>
              <c:strCache>
                <c:ptCount val="1"/>
                <c:pt idx="0">
                  <c:v>Übrige Industrie und Gewerbe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'Montana Grafiken'!$B$81:$M$81</c:f>
              <c:numCache>
                <c:formatCode>#\ ##0.000</c:formatCode>
                <c:ptCount val="12"/>
                <c:pt idx="0">
                  <c:v>0.4652223805</c:v>
                </c:pt>
                <c:pt idx="1">
                  <c:v>0.54459474</c:v>
                </c:pt>
                <c:pt idx="2">
                  <c:v>0.577672898</c:v>
                </c:pt>
                <c:pt idx="3">
                  <c:v>0.4843473805</c:v>
                </c:pt>
                <c:pt idx="4">
                  <c:v>0.443172634</c:v>
                </c:pt>
                <c:pt idx="5">
                  <c:v>0.4798473805</c:v>
                </c:pt>
                <c:pt idx="6">
                  <c:v>0.453372465</c:v>
                </c:pt>
                <c:pt idx="7">
                  <c:v>0.4637223805</c:v>
                </c:pt>
                <c:pt idx="8">
                  <c:v>0.56709474</c:v>
                </c:pt>
                <c:pt idx="9">
                  <c:v>0.585172898</c:v>
                </c:pt>
                <c:pt idx="10">
                  <c:v>0.584422898</c:v>
                </c:pt>
                <c:pt idx="11">
                  <c:v>0.55696974</c:v>
                </c:pt>
              </c:numCache>
            </c:numRef>
          </c:val>
        </c:ser>
        <c:ser>
          <c:idx val="3"/>
          <c:order val="3"/>
          <c:tx>
            <c:strRef>
              <c:f>'Montana Grafiken'!$A$82</c:f>
              <c:strCache>
                <c:ptCount val="1"/>
                <c:pt idx="0">
                  <c:v>Bewässerung</c:v>
                </c:pt>
              </c:strCache>
            </c:strRef>
          </c:tx>
          <c:spPr>
            <a:solidFill>
              <a:srgbClr val="FC8604"/>
            </a:solidFill>
          </c:spPr>
          <c:invertIfNegative val="0"/>
          <c:val>
            <c:numRef>
              <c:f>'Montana Grafiken'!$B$82:$M$82</c:f>
              <c:numCache>
                <c:formatCode>#\ ##0.000</c:formatCode>
                <c:ptCount val="12"/>
                <c:pt idx="0">
                  <c:v>1.1925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0.19875</c:v>
                </c:pt>
                <c:pt idx="6">
                  <c:v>0.9838125</c:v>
                </c:pt>
                <c:pt idx="7">
                  <c:v>0.822825</c:v>
                </c:pt>
                <c:pt idx="8">
                  <c:v>1.808625</c:v>
                </c:pt>
                <c:pt idx="9">
                  <c:v>3.3529125</c:v>
                </c:pt>
                <c:pt idx="10">
                  <c:v>3.5397375</c:v>
                </c:pt>
                <c:pt idx="11">
                  <c:v>2.7487125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0"/>
        <c:overlap val="100"/>
        <c:axId val="-2141920616"/>
        <c:axId val="-2141917496"/>
      </c:barChart>
      <c:catAx>
        <c:axId val="-214192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917496"/>
        <c:crosses val="autoZero"/>
        <c:auto val="1"/>
        <c:lblAlgn val="ctr"/>
        <c:lblOffset val="100"/>
        <c:noMultiLvlLbl val="0"/>
      </c:catAx>
      <c:valAx>
        <c:axId val="-2141917496"/>
        <c:scaling>
          <c:orientation val="minMax"/>
        </c:scaling>
        <c:delete val="0"/>
        <c:axPos val="l"/>
        <c:majorGridlines/>
        <c:numFmt formatCode="#\ ##0.000" sourceLinked="1"/>
        <c:majorTickMark val="out"/>
        <c:minorTickMark val="none"/>
        <c:tickLblPos val="nextTo"/>
        <c:crossAx val="-2141920616"/>
        <c:crosses val="autoZero"/>
        <c:crossBetween val="between"/>
        <c:majorUnit val="2.5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'Montana Grafiken'!$A$77</c:f>
              <c:strCache>
                <c:ptCount val="1"/>
                <c:pt idx="0">
                  <c:v>Abfluss Ostgebiete</c:v>
                </c:pt>
              </c:strCache>
            </c:strRef>
          </c:tx>
          <c:spPr>
            <a:solidFill>
              <a:srgbClr val="0F273D"/>
            </a:solidFill>
          </c:spPr>
          <c:invertIfNegative val="0"/>
          <c:val>
            <c:numRef>
              <c:f>'Montana Grafiken'!$B$77:$M$77</c:f>
              <c:numCache>
                <c:formatCode>#\ ##0.000</c:formatCode>
                <c:ptCount val="12"/>
                <c:pt idx="0">
                  <c:v>3.7744</c:v>
                </c:pt>
                <c:pt idx="1">
                  <c:v>0.93765</c:v>
                </c:pt>
                <c:pt idx="2">
                  <c:v>0.70395</c:v>
                </c:pt>
                <c:pt idx="3">
                  <c:v>0.8208</c:v>
                </c:pt>
                <c:pt idx="4">
                  <c:v>0.8227</c:v>
                </c:pt>
                <c:pt idx="5">
                  <c:v>0.8265</c:v>
                </c:pt>
                <c:pt idx="6">
                  <c:v>4.04795</c:v>
                </c:pt>
                <c:pt idx="7">
                  <c:v>4.7</c:v>
                </c:pt>
                <c:pt idx="8">
                  <c:v>7.0944</c:v>
                </c:pt>
                <c:pt idx="9">
                  <c:v>3.9872</c:v>
                </c:pt>
                <c:pt idx="10">
                  <c:v>0.5984</c:v>
                </c:pt>
                <c:pt idx="11">
                  <c:v>1.9208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41897624"/>
        <c:axId val="-2141894616"/>
      </c:barChart>
      <c:catAx>
        <c:axId val="-2141897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1894616"/>
        <c:crosses val="autoZero"/>
        <c:auto val="1"/>
        <c:lblAlgn val="ctr"/>
        <c:lblOffset val="100"/>
        <c:noMultiLvlLbl val="0"/>
      </c:catAx>
      <c:valAx>
        <c:axId val="-2141894616"/>
        <c:scaling>
          <c:orientation val="minMax"/>
        </c:scaling>
        <c:delete val="0"/>
        <c:axPos val="l"/>
        <c:majorGridlines/>
        <c:numFmt formatCode="#,##0.0" sourceLinked="0"/>
        <c:majorTickMark val="none"/>
        <c:minorTickMark val="none"/>
        <c:tickLblPos val="nextTo"/>
        <c:crossAx val="-2141897624"/>
        <c:crosses val="autoZero"/>
        <c:crossBetween val="between"/>
        <c:majorUnit val="2.5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'Montana Grafiken'!$A$35</c:f>
              <c:strCache>
                <c:ptCount val="1"/>
                <c:pt idx="0">
                  <c:v>Restwasser (Natur)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'Montana Grafiken'!$B$35:$M$35</c:f>
              <c:numCache>
                <c:formatCode>#\ ##0.000</c:formatCode>
                <c:ptCount val="12"/>
                <c:pt idx="0">
                  <c:v>0.7651584</c:v>
                </c:pt>
                <c:pt idx="1">
                  <c:v>0.7651584</c:v>
                </c:pt>
                <c:pt idx="2">
                  <c:v>0.7651584</c:v>
                </c:pt>
                <c:pt idx="3">
                  <c:v>0.7651584</c:v>
                </c:pt>
                <c:pt idx="4">
                  <c:v>0.7651584</c:v>
                </c:pt>
                <c:pt idx="5">
                  <c:v>0.7651584</c:v>
                </c:pt>
                <c:pt idx="6">
                  <c:v>0.7651584</c:v>
                </c:pt>
                <c:pt idx="7">
                  <c:v>0.7651584</c:v>
                </c:pt>
                <c:pt idx="8">
                  <c:v>0.7651584</c:v>
                </c:pt>
                <c:pt idx="9">
                  <c:v>0.7651584</c:v>
                </c:pt>
                <c:pt idx="10">
                  <c:v>0.7651584</c:v>
                </c:pt>
                <c:pt idx="11">
                  <c:v>0.7651584</c:v>
                </c:pt>
              </c:numCache>
            </c:numRef>
          </c:val>
        </c:ser>
        <c:ser>
          <c:idx val="1"/>
          <c:order val="1"/>
          <c:tx>
            <c:strRef>
              <c:f>'Montana Grafiken'!$A$36</c:f>
              <c:strCache>
                <c:ptCount val="1"/>
                <c:pt idx="0">
                  <c:v>Trinkwasser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'Montana Grafiken'!$B$36:$M$36</c:f>
              <c:numCache>
                <c:formatCode>#\ ##0.000</c:formatCode>
                <c:ptCount val="12"/>
                <c:pt idx="0">
                  <c:v>0.3961477</c:v>
                </c:pt>
                <c:pt idx="1">
                  <c:v>0.410028</c:v>
                </c:pt>
                <c:pt idx="2">
                  <c:v>0.4386206</c:v>
                </c:pt>
                <c:pt idx="3">
                  <c:v>0.4152727</c:v>
                </c:pt>
                <c:pt idx="4">
                  <c:v>0.3807826</c:v>
                </c:pt>
                <c:pt idx="5">
                  <c:v>0.4107727</c:v>
                </c:pt>
                <c:pt idx="6">
                  <c:v>0.386526</c:v>
                </c:pt>
                <c:pt idx="7">
                  <c:v>0.3946477</c:v>
                </c:pt>
                <c:pt idx="8">
                  <c:v>0.432528</c:v>
                </c:pt>
                <c:pt idx="9">
                  <c:v>0.4461206</c:v>
                </c:pt>
                <c:pt idx="10">
                  <c:v>0.4453706</c:v>
                </c:pt>
                <c:pt idx="11">
                  <c:v>0.422403</c:v>
                </c:pt>
              </c:numCache>
            </c:numRef>
          </c:val>
        </c:ser>
        <c:ser>
          <c:idx val="2"/>
          <c:order val="2"/>
          <c:tx>
            <c:strRef>
              <c:f>'Montana Grafiken'!$A$37</c:f>
              <c:strCache>
                <c:ptCount val="1"/>
                <c:pt idx="0">
                  <c:v>Übrige Industrie und Gewerbe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'Montana Grafiken'!$B$37:$M$37</c:f>
              <c:numCache>
                <c:formatCode>#\ ##0.000</c:formatCode>
                <c:ptCount val="12"/>
                <c:pt idx="0">
                  <c:v>0.3961477</c:v>
                </c:pt>
                <c:pt idx="1">
                  <c:v>0.410028</c:v>
                </c:pt>
                <c:pt idx="2">
                  <c:v>0.4386206</c:v>
                </c:pt>
                <c:pt idx="3">
                  <c:v>0.4152727</c:v>
                </c:pt>
                <c:pt idx="4">
                  <c:v>0.3807826</c:v>
                </c:pt>
                <c:pt idx="5">
                  <c:v>0.4107727</c:v>
                </c:pt>
                <c:pt idx="6">
                  <c:v>0.386526</c:v>
                </c:pt>
                <c:pt idx="7">
                  <c:v>0.3946477</c:v>
                </c:pt>
                <c:pt idx="8">
                  <c:v>0.432528</c:v>
                </c:pt>
                <c:pt idx="9">
                  <c:v>0.4461206</c:v>
                </c:pt>
                <c:pt idx="10">
                  <c:v>0.4453706</c:v>
                </c:pt>
                <c:pt idx="11">
                  <c:v>0.422403</c:v>
                </c:pt>
              </c:numCache>
            </c:numRef>
          </c:val>
        </c:ser>
        <c:ser>
          <c:idx val="3"/>
          <c:order val="3"/>
          <c:tx>
            <c:strRef>
              <c:f>'Montana Grafiken'!$A$38</c:f>
              <c:strCache>
                <c:ptCount val="1"/>
                <c:pt idx="0">
                  <c:v>Bewässerung</c:v>
                </c:pt>
              </c:strCache>
            </c:strRef>
          </c:tx>
          <c:spPr>
            <a:solidFill>
              <a:srgbClr val="FC8604"/>
            </a:solidFill>
          </c:spPr>
          <c:invertIfNegative val="0"/>
          <c:val>
            <c:numRef>
              <c:f>'Montana Grafiken'!$B$38:$M$38</c:f>
              <c:numCache>
                <c:formatCode>#\ ##0.000</c:formatCode>
                <c:ptCount val="12"/>
                <c:pt idx="0">
                  <c:v>0.265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0.1855</c:v>
                </c:pt>
                <c:pt idx="7">
                  <c:v>0.25175</c:v>
                </c:pt>
                <c:pt idx="8">
                  <c:v>0.41075</c:v>
                </c:pt>
                <c:pt idx="9">
                  <c:v>0.742</c:v>
                </c:pt>
                <c:pt idx="10">
                  <c:v>0.795</c:v>
                </c:pt>
                <c:pt idx="11">
                  <c:v>0.6095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1"/>
        <c:overlap val="100"/>
        <c:axId val="-2141858728"/>
        <c:axId val="-2141855608"/>
      </c:barChart>
      <c:catAx>
        <c:axId val="-214185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855608"/>
        <c:crosses val="autoZero"/>
        <c:auto val="1"/>
        <c:lblAlgn val="ctr"/>
        <c:lblOffset val="100"/>
        <c:noMultiLvlLbl val="0"/>
      </c:catAx>
      <c:valAx>
        <c:axId val="-214185560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-2141858728"/>
        <c:crosses val="autoZero"/>
        <c:crossBetween val="between"/>
        <c:majorUnit val="2.5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de.wikipedia.org/wiki/Datei:Reliefkarte_Wallis_blank.png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://tools.wmflabs.org/geohack/geohack.php?pagename=Lac_de_Tseuzier&amp;language=de&amp;params=46.350833333333_N_7.4305555555555_E_dim:1000_region:CH-VS_type:landmark&amp;title=Lac+de+Tseuzier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://de.wikipedia.org/wiki/Lac_de_Tseuzier" TargetMode="External"/><Relationship Id="rId8" Type="http://schemas.openxmlformats.org/officeDocument/2006/relationships/image" Target="../media/image4.png"/><Relationship Id="rId9" Type="http://schemas.openxmlformats.org/officeDocument/2006/relationships/image" Target="../media/image5.png"/><Relationship Id="rId1" Type="http://schemas.openxmlformats.org/officeDocument/2006/relationships/hyperlink" Target="http://de.wikipedia.org/wiki/Datei:Bisse_d'Ayent_Tseuzier.jpg" TargetMode="External"/><Relationship Id="rId2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19</xdr:col>
      <xdr:colOff>643618</xdr:colOff>
      <xdr:row>15</xdr:row>
      <xdr:rowOff>136978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54429</xdr:colOff>
      <xdr:row>0</xdr:row>
      <xdr:rowOff>0</xdr:rowOff>
    </xdr:from>
    <xdr:to>
      <xdr:col>25</xdr:col>
      <xdr:colOff>678998</xdr:colOff>
      <xdr:row>20</xdr:row>
      <xdr:rowOff>54427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</xdr:colOff>
      <xdr:row>20</xdr:row>
      <xdr:rowOff>176891</xdr:rowOff>
    </xdr:from>
    <xdr:to>
      <xdr:col>19</xdr:col>
      <xdr:colOff>685800</xdr:colOff>
      <xdr:row>29</xdr:row>
      <xdr:rowOff>38098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9526</xdr:colOff>
      <xdr:row>15</xdr:row>
      <xdr:rowOff>54429</xdr:rowOff>
    </xdr:from>
    <xdr:to>
      <xdr:col>25</xdr:col>
      <xdr:colOff>638176</xdr:colOff>
      <xdr:row>29</xdr:row>
      <xdr:rowOff>47625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48</xdr:row>
      <xdr:rowOff>13607</xdr:rowOff>
    </xdr:from>
    <xdr:to>
      <xdr:col>20</xdr:col>
      <xdr:colOff>14287</xdr:colOff>
      <xdr:row>56</xdr:row>
      <xdr:rowOff>9523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114300</xdr:colOff>
      <xdr:row>42</xdr:row>
      <xdr:rowOff>47625</xdr:rowOff>
    </xdr:from>
    <xdr:to>
      <xdr:col>26</xdr:col>
      <xdr:colOff>119062</xdr:colOff>
      <xdr:row>56</xdr:row>
      <xdr:rowOff>9525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28575</xdr:colOff>
      <xdr:row>75</xdr:row>
      <xdr:rowOff>0</xdr:rowOff>
    </xdr:from>
    <xdr:to>
      <xdr:col>20</xdr:col>
      <xdr:colOff>52387</xdr:colOff>
      <xdr:row>86</xdr:row>
      <xdr:rowOff>27216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123825</xdr:colOff>
      <xdr:row>75</xdr:row>
      <xdr:rowOff>0</xdr:rowOff>
    </xdr:from>
    <xdr:to>
      <xdr:col>26</xdr:col>
      <xdr:colOff>109536</xdr:colOff>
      <xdr:row>86</xdr:row>
      <xdr:rowOff>-1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9525</xdr:colOff>
      <xdr:row>36</xdr:row>
      <xdr:rowOff>163285</xdr:rowOff>
    </xdr:from>
    <xdr:to>
      <xdr:col>20</xdr:col>
      <xdr:colOff>14287</xdr:colOff>
      <xdr:row>42</xdr:row>
      <xdr:rowOff>57148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76199</xdr:colOff>
      <xdr:row>25</xdr:row>
      <xdr:rowOff>68037</xdr:rowOff>
    </xdr:from>
    <xdr:to>
      <xdr:col>26</xdr:col>
      <xdr:colOff>71436</xdr:colOff>
      <xdr:row>47</xdr:row>
      <xdr:rowOff>136072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57150</xdr:colOff>
      <xdr:row>62</xdr:row>
      <xdr:rowOff>40821</xdr:rowOff>
    </xdr:from>
    <xdr:to>
      <xdr:col>20</xdr:col>
      <xdr:colOff>61912</xdr:colOff>
      <xdr:row>70</xdr:row>
      <xdr:rowOff>38100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133349</xdr:colOff>
      <xdr:row>52</xdr:row>
      <xdr:rowOff>13607</xdr:rowOff>
    </xdr:from>
    <xdr:to>
      <xdr:col>26</xdr:col>
      <xdr:colOff>128586</xdr:colOff>
      <xdr:row>82</xdr:row>
      <xdr:rowOff>204108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28575</xdr:colOff>
      <xdr:row>94</xdr:row>
      <xdr:rowOff>122463</xdr:rowOff>
    </xdr:from>
    <xdr:to>
      <xdr:col>20</xdr:col>
      <xdr:colOff>52387</xdr:colOff>
      <xdr:row>106</xdr:row>
      <xdr:rowOff>9522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123825</xdr:colOff>
      <xdr:row>85</xdr:row>
      <xdr:rowOff>163286</xdr:rowOff>
    </xdr:from>
    <xdr:to>
      <xdr:col>26</xdr:col>
      <xdr:colOff>109536</xdr:colOff>
      <xdr:row>118</xdr:row>
      <xdr:rowOff>136071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1438275</xdr:colOff>
      <xdr:row>12</xdr:row>
      <xdr:rowOff>38100</xdr:rowOff>
    </xdr:to>
    <xdr:pic>
      <xdr:nvPicPr>
        <xdr:cNvPr id="2" name="Grafik 1" descr="Bisse d'Ayent Tseuzier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2857500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1438275</xdr:colOff>
      <xdr:row>27</xdr:row>
      <xdr:rowOff>114300</xdr:rowOff>
    </xdr:to>
    <xdr:pic>
      <xdr:nvPicPr>
        <xdr:cNvPr id="3" name="Grafik 2" descr="Lac de Tseuzier (Wallis)">
          <a:hlinkClick xmlns:r="http://schemas.openxmlformats.org/officeDocument/2006/relationships" r:id="rId3" tooltip="Lac de Tseuzier (Wallis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5175"/>
          <a:ext cx="2857500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76200</xdr:colOff>
      <xdr:row>27</xdr:row>
      <xdr:rowOff>76200</xdr:rowOff>
    </xdr:to>
    <xdr:pic>
      <xdr:nvPicPr>
        <xdr:cNvPr id="4" name="Grafik 3" descr="Lac de Tseuzier">
          <a:hlinkClick xmlns:r="http://schemas.openxmlformats.org/officeDocument/2006/relationships" r:id="rId5" tooltip="Lac de Tseuzi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067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161925</xdr:colOff>
      <xdr:row>29</xdr:row>
      <xdr:rowOff>161925</xdr:rowOff>
    </xdr:to>
    <xdr:pic>
      <xdr:nvPicPr>
        <xdr:cNvPr id="5" name="Grafik 4" descr="http://upload.wikimedia.org/wikipedia/commons/thumb/c/c9/OpenStreetMapLogo.png/17px-OpenStreetMapLogo.png">
          <a:hlinkClick xmlns:r="http://schemas.openxmlformats.org/officeDocument/2006/relationships" r:id="rId7" tooltip="Zeige Koordinaten auf einer Karte von OpenStreetMa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05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29</xdr:row>
      <xdr:rowOff>0</xdr:rowOff>
    </xdr:from>
    <xdr:to>
      <xdr:col>1</xdr:col>
      <xdr:colOff>333375</xdr:colOff>
      <xdr:row>29</xdr:row>
      <xdr:rowOff>161925</xdr:rowOff>
    </xdr:to>
    <xdr:pic>
      <xdr:nvPicPr>
        <xdr:cNvPr id="6" name="Grafik 5" descr="http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5905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de.wikipedia.org/wiki/Schweizer_Landeskoordinaten" TargetMode="External"/><Relationship Id="rId4" Type="http://schemas.openxmlformats.org/officeDocument/2006/relationships/hyperlink" Target="http://de.wikipedia.org/wiki/Absperrbauwerk" TargetMode="External"/><Relationship Id="rId5" Type="http://schemas.openxmlformats.org/officeDocument/2006/relationships/hyperlink" Target="http://de.wikipedia.org/wiki/Gew%C3%A4sserbett" TargetMode="External"/><Relationship Id="rId6" Type="http://schemas.openxmlformats.org/officeDocument/2006/relationships/hyperlink" Target="http://de.wikipedia.org/wiki/H%C3%B6he_%C3%BCber_dem_Meeresspiegel" TargetMode="External"/><Relationship Id="rId7" Type="http://schemas.openxmlformats.org/officeDocument/2006/relationships/hyperlink" Target="http://de.wikipedia.org/wiki/Meter_%C3%BCber_Meer" TargetMode="External"/><Relationship Id="rId8" Type="http://schemas.openxmlformats.org/officeDocument/2006/relationships/hyperlink" Target="http://de.wikipedia.org/wiki/Gesamtstauraum" TargetMode="External"/><Relationship Id="rId9" Type="http://schemas.openxmlformats.org/officeDocument/2006/relationships/hyperlink" Target="http://de.wikipedia.org/wiki/Einzugsgebiet_(Hydrologie)" TargetMode="External"/><Relationship Id="rId10" Type="http://schemas.openxmlformats.org/officeDocument/2006/relationships/hyperlink" Target="http://de.wikipedia.org/wiki/Bemessungshochwasser" TargetMode="External"/><Relationship Id="rId11" Type="http://schemas.openxmlformats.org/officeDocument/2006/relationships/drawing" Target="../drawings/drawing2.xml"/><Relationship Id="rId1" Type="http://schemas.openxmlformats.org/officeDocument/2006/relationships/hyperlink" Target="http://de.wikipedia.org/wiki/Kanton_Wallis" TargetMode="External"/><Relationship Id="rId2" Type="http://schemas.openxmlformats.org/officeDocument/2006/relationships/hyperlink" Target="http://de.wikipedia.org/w/index.php?title=La_Li%C3%A8ne&amp;action=edit&amp;redlink=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workbookViewId="0">
      <selection activeCell="Q24" sqref="Q24"/>
    </sheetView>
  </sheetViews>
  <sheetFormatPr baseColWidth="10" defaultRowHeight="14" x14ac:dyDescent="0"/>
  <cols>
    <col min="1" max="1" width="9.5" customWidth="1"/>
    <col min="2" max="2" width="24.1640625" style="77" customWidth="1"/>
    <col min="3" max="3" width="19.5" style="77" customWidth="1"/>
    <col min="4" max="4" width="7.5" style="78" customWidth="1"/>
    <col min="5" max="9" width="7.5" style="79" customWidth="1"/>
    <col min="10" max="10" width="8.83203125" style="79" customWidth="1"/>
    <col min="11" max="11" width="8.1640625" style="79" customWidth="1"/>
    <col min="12" max="13" width="7.5" style="79" customWidth="1"/>
    <col min="14" max="14" width="8.5" style="79" customWidth="1"/>
    <col min="15" max="15" width="7.5" style="79" customWidth="1"/>
    <col min="16" max="16" width="8.1640625" style="57" customWidth="1"/>
    <col min="17" max="17" width="29.1640625" style="180" customWidth="1"/>
    <col min="18" max="18" width="30.5" style="80" customWidth="1"/>
    <col min="19" max="19" width="61.5" style="75" customWidth="1"/>
  </cols>
  <sheetData>
    <row r="1" spans="1:20" s="33" customFormat="1" ht="18">
      <c r="A1" s="33" t="s">
        <v>351</v>
      </c>
      <c r="B1" s="28" t="s">
        <v>359</v>
      </c>
      <c r="C1" s="29" t="s">
        <v>360</v>
      </c>
      <c r="D1" s="30" t="s">
        <v>40</v>
      </c>
      <c r="E1" s="30" t="s">
        <v>361</v>
      </c>
      <c r="F1" s="30" t="s">
        <v>362</v>
      </c>
      <c r="G1" s="30" t="s">
        <v>363</v>
      </c>
      <c r="H1" s="30" t="s">
        <v>44</v>
      </c>
      <c r="I1" s="30" t="s">
        <v>364</v>
      </c>
      <c r="J1" s="30" t="s">
        <v>365</v>
      </c>
      <c r="K1" s="30" t="s">
        <v>366</v>
      </c>
      <c r="L1" s="30" t="s">
        <v>48</v>
      </c>
      <c r="M1" s="30" t="s">
        <v>367</v>
      </c>
      <c r="N1" s="30" t="s">
        <v>50</v>
      </c>
      <c r="O1" s="30" t="s">
        <v>368</v>
      </c>
      <c r="P1" s="31" t="s">
        <v>369</v>
      </c>
      <c r="Q1" s="176" t="s">
        <v>355</v>
      </c>
      <c r="R1" s="32" t="s">
        <v>53</v>
      </c>
      <c r="S1" s="175" t="s">
        <v>54</v>
      </c>
    </row>
    <row r="2" spans="1:20" s="38" customFormat="1">
      <c r="B2" s="34"/>
      <c r="C2" s="34"/>
      <c r="D2" s="35" t="s">
        <v>55</v>
      </c>
      <c r="E2" s="35" t="s">
        <v>55</v>
      </c>
      <c r="F2" s="35" t="s">
        <v>55</v>
      </c>
      <c r="G2" s="35" t="s">
        <v>55</v>
      </c>
      <c r="H2" s="35" t="s">
        <v>55</v>
      </c>
      <c r="I2" s="35" t="s">
        <v>55</v>
      </c>
      <c r="J2" s="35" t="s">
        <v>55</v>
      </c>
      <c r="K2" s="35" t="s">
        <v>55</v>
      </c>
      <c r="L2" s="35" t="s">
        <v>55</v>
      </c>
      <c r="M2" s="35" t="s">
        <v>55</v>
      </c>
      <c r="N2" s="35" t="s">
        <v>55</v>
      </c>
      <c r="O2" s="35" t="s">
        <v>55</v>
      </c>
      <c r="P2" s="36" t="s">
        <v>55</v>
      </c>
      <c r="Q2" s="177"/>
      <c r="R2" s="37"/>
      <c r="S2" s="37"/>
    </row>
    <row r="3" spans="1:20">
      <c r="A3">
        <v>1</v>
      </c>
      <c r="B3" s="150" t="s">
        <v>352</v>
      </c>
      <c r="C3" s="150" t="s">
        <v>354</v>
      </c>
      <c r="D3" s="152">
        <v>2.1669999999999998</v>
      </c>
      <c r="E3" s="157">
        <v>1.2350000000000001</v>
      </c>
      <c r="F3" s="157">
        <v>1.7330000000000001</v>
      </c>
      <c r="G3" s="157">
        <v>5.8579999999999997</v>
      </c>
      <c r="H3" s="157">
        <v>17.279</v>
      </c>
      <c r="I3" s="157">
        <v>11.678000000000001</v>
      </c>
      <c r="J3" s="157">
        <v>8.1869999999999994</v>
      </c>
      <c r="K3" s="157">
        <v>6.3769999999999998</v>
      </c>
      <c r="L3" s="157">
        <v>5.0469999999999997</v>
      </c>
      <c r="M3" s="157">
        <v>4.4660000000000002</v>
      </c>
      <c r="N3" s="157">
        <v>3.859</v>
      </c>
      <c r="O3" s="157">
        <v>2.9609999999999999</v>
      </c>
      <c r="P3" s="50">
        <f t="shared" ref="P3:P4" si="0">SUM(D3:O3)</f>
        <v>70.846999999999994</v>
      </c>
      <c r="Q3" s="178"/>
      <c r="R3" s="51" t="s">
        <v>288</v>
      </c>
      <c r="S3" s="75" t="s">
        <v>338</v>
      </c>
    </row>
    <row r="4" spans="1:20">
      <c r="A4">
        <v>2</v>
      </c>
      <c r="B4" s="150" t="s">
        <v>353</v>
      </c>
      <c r="C4" s="150" t="s">
        <v>354</v>
      </c>
      <c r="D4" s="157">
        <v>1.6839999999999999</v>
      </c>
      <c r="E4" s="157">
        <v>0.754</v>
      </c>
      <c r="F4" s="157">
        <v>1.6990000000000001</v>
      </c>
      <c r="G4" s="157">
        <v>3.8740000000000001</v>
      </c>
      <c r="H4" s="157">
        <v>5.3369999999999997</v>
      </c>
      <c r="I4" s="157">
        <v>3.4689999999999999</v>
      </c>
      <c r="J4" s="157">
        <v>3.0920000000000001</v>
      </c>
      <c r="K4" s="157">
        <v>2.4060000000000001</v>
      </c>
      <c r="L4" s="157">
        <v>1.742</v>
      </c>
      <c r="M4" s="157">
        <v>1.488</v>
      </c>
      <c r="N4" s="157">
        <v>1.716</v>
      </c>
      <c r="O4" s="157">
        <v>1.6439999999999999</v>
      </c>
      <c r="P4" s="50">
        <f t="shared" si="0"/>
        <v>28.904999999999998</v>
      </c>
      <c r="Q4" s="178"/>
      <c r="R4" s="51" t="s">
        <v>288</v>
      </c>
      <c r="S4" s="75" t="s">
        <v>338</v>
      </c>
    </row>
    <row r="5" spans="1:20">
      <c r="B5" s="48"/>
      <c r="C5" s="48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50"/>
      <c r="Q5" s="178"/>
      <c r="R5" s="51"/>
    </row>
    <row r="6" spans="1:20">
      <c r="A6">
        <v>3</v>
      </c>
      <c r="B6" s="150" t="s">
        <v>356</v>
      </c>
      <c r="C6" s="150"/>
      <c r="D6" s="156">
        <f>('Zahlen MontanAqua'!Q28)/1000000</f>
        <v>0.38257920000000001</v>
      </c>
      <c r="E6" s="156">
        <f>D6</f>
        <v>0.38257920000000001</v>
      </c>
      <c r="F6" s="156">
        <f>D6</f>
        <v>0.38257920000000001</v>
      </c>
      <c r="G6" s="156">
        <f>D6</f>
        <v>0.38257920000000001</v>
      </c>
      <c r="H6" s="156">
        <f>D6</f>
        <v>0.38257920000000001</v>
      </c>
      <c r="I6" s="156">
        <f>D6</f>
        <v>0.38257920000000001</v>
      </c>
      <c r="J6" s="156">
        <f>D6</f>
        <v>0.38257920000000001</v>
      </c>
      <c r="K6" s="156">
        <f>D6</f>
        <v>0.38257920000000001</v>
      </c>
      <c r="L6" s="156">
        <f>D6</f>
        <v>0.38257920000000001</v>
      </c>
      <c r="M6" s="156">
        <f>D6</f>
        <v>0.38257920000000001</v>
      </c>
      <c r="N6" s="156">
        <f>D6</f>
        <v>0.38257920000000001</v>
      </c>
      <c r="O6" s="156">
        <f>D6</f>
        <v>0.38257920000000001</v>
      </c>
      <c r="P6" s="50">
        <f>SUM(D6:O6)</f>
        <v>4.5909503999999997</v>
      </c>
      <c r="Q6" s="178" t="s">
        <v>358</v>
      </c>
      <c r="R6" s="51"/>
    </row>
    <row r="7" spans="1:20">
      <c r="A7">
        <v>4</v>
      </c>
      <c r="B7" s="150" t="s">
        <v>357</v>
      </c>
      <c r="C7" s="150"/>
      <c r="D7" s="156">
        <f>2*D6</f>
        <v>0.76515840000000002</v>
      </c>
      <c r="E7" s="156">
        <f t="shared" ref="E7:O7" si="1">2*E6</f>
        <v>0.76515840000000002</v>
      </c>
      <c r="F7" s="156">
        <f t="shared" si="1"/>
        <v>0.76515840000000002</v>
      </c>
      <c r="G7" s="156">
        <f t="shared" si="1"/>
        <v>0.76515840000000002</v>
      </c>
      <c r="H7" s="156">
        <f t="shared" si="1"/>
        <v>0.76515840000000002</v>
      </c>
      <c r="I7" s="156">
        <f t="shared" si="1"/>
        <v>0.76515840000000002</v>
      </c>
      <c r="J7" s="156">
        <f t="shared" si="1"/>
        <v>0.76515840000000002</v>
      </c>
      <c r="K7" s="156">
        <f t="shared" si="1"/>
        <v>0.76515840000000002</v>
      </c>
      <c r="L7" s="156">
        <f t="shared" si="1"/>
        <v>0.76515840000000002</v>
      </c>
      <c r="M7" s="156">
        <f t="shared" si="1"/>
        <v>0.76515840000000002</v>
      </c>
      <c r="N7" s="156">
        <f t="shared" si="1"/>
        <v>0.76515840000000002</v>
      </c>
      <c r="O7" s="156">
        <f t="shared" si="1"/>
        <v>0.76515840000000002</v>
      </c>
      <c r="P7" s="50">
        <f>SUM(D7:O7)</f>
        <v>9.1819007999999993</v>
      </c>
      <c r="Q7" s="178" t="s">
        <v>358</v>
      </c>
      <c r="R7" s="51"/>
      <c r="T7" s="86"/>
    </row>
    <row r="8" spans="1:20">
      <c r="B8" s="48"/>
      <c r="C8" s="48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50"/>
      <c r="Q8" s="178"/>
      <c r="R8" s="51"/>
      <c r="T8" s="86"/>
    </row>
    <row r="9" spans="1:20" s="47" customFormat="1">
      <c r="B9" s="153" t="s">
        <v>370</v>
      </c>
      <c r="C9" s="153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53"/>
      <c r="Q9" s="179"/>
      <c r="R9" s="46"/>
      <c r="S9" s="131"/>
      <c r="T9" s="86"/>
    </row>
    <row r="10" spans="1:20" s="47" customFormat="1">
      <c r="B10" s="43" t="s">
        <v>371</v>
      </c>
      <c r="C10" s="43"/>
      <c r="D10" s="43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3"/>
      <c r="Q10" s="179"/>
      <c r="R10" s="46"/>
      <c r="S10" s="131"/>
      <c r="T10" s="86"/>
    </row>
    <row r="11" spans="1:20" s="47" customFormat="1">
      <c r="B11" s="48" t="s">
        <v>372</v>
      </c>
      <c r="C11" s="48" t="s">
        <v>354</v>
      </c>
      <c r="D11" s="54">
        <f>((C47*D47*31)+(D51*1000*0.15))/1000000</f>
        <v>0.96869476100000018</v>
      </c>
      <c r="E11" s="54">
        <f>((C47*D47*28)+(E51*1000*0.15))/1000000</f>
        <v>0.88634526800000013</v>
      </c>
      <c r="F11" s="54">
        <f>((C47*D47*31)+(F51*1000*0.15))/1000000</f>
        <v>0.95969476100000017</v>
      </c>
      <c r="G11" s="54">
        <f>((C47*D47*30)+(G51*1000*0.15))/1000000</f>
        <v>0.90674493000000012</v>
      </c>
      <c r="H11" s="54">
        <f>((C47*D47*31)+(H51*1000*0.15))/1000000</f>
        <v>0.92744476100000017</v>
      </c>
      <c r="I11" s="54">
        <f>((C47*F47*30)+(I51*1000*0.15))/1000000</f>
        <v>0.99322275000000015</v>
      </c>
      <c r="J11" s="54">
        <f>((C47*F47*31)+(J51*1000*0.15))/1000000</f>
        <v>1.050255175</v>
      </c>
      <c r="K11" s="54">
        <f>((C47*F47*31)+(K51*1000*0.15))/1000000</f>
        <v>1.0487551750000002</v>
      </c>
      <c r="L11" s="54">
        <f>((C47*F47*30)+(L51*1000*0.15))/1000000</f>
        <v>0.9977227500000001</v>
      </c>
      <c r="M11" s="54">
        <f>((C47*D47*31)+(M51*1000*0.15))/1000000</f>
        <v>0.93044476100000018</v>
      </c>
      <c r="N11" s="54">
        <f>((C47*F47*30)+(N51*1000*0.15))/1000000</f>
        <v>0.97297275000000016</v>
      </c>
      <c r="O11" s="54">
        <f>((C47*F47*31)+(O51*1000*0.15))/1000000</f>
        <v>1.0352551750000001</v>
      </c>
      <c r="P11" s="50">
        <f t="shared" ref="P11" si="2">SUM(D11:O11)</f>
        <v>11.677553017000001</v>
      </c>
      <c r="Q11" s="178"/>
      <c r="R11" s="46"/>
      <c r="S11" s="131"/>
      <c r="T11" s="86"/>
    </row>
    <row r="12" spans="1:20" s="47" customFormat="1">
      <c r="B12" s="48"/>
      <c r="C12" s="48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0"/>
      <c r="Q12" s="178"/>
      <c r="R12" s="46"/>
      <c r="S12" s="131"/>
      <c r="T12" s="86"/>
    </row>
    <row r="13" spans="1:20" s="47" customFormat="1">
      <c r="B13" s="153" t="s">
        <v>373</v>
      </c>
      <c r="C13" s="150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50"/>
      <c r="Q13" s="178"/>
      <c r="R13" s="46"/>
      <c r="S13" s="131"/>
      <c r="T13" s="86"/>
    </row>
    <row r="14" spans="1:20" s="47" customFormat="1">
      <c r="B14" s="150" t="s">
        <v>372</v>
      </c>
      <c r="C14" s="150" t="s">
        <v>354</v>
      </c>
      <c r="D14" s="155">
        <f>D11*0.15</f>
        <v>0.14530421415000003</v>
      </c>
      <c r="E14" s="155">
        <f>E11*0.15</f>
        <v>0.1329517902</v>
      </c>
      <c r="F14" s="155"/>
      <c r="G14" s="155"/>
      <c r="H14" s="155"/>
      <c r="I14" s="155"/>
      <c r="J14" s="155"/>
      <c r="K14" s="155">
        <f>K11*0.15</f>
        <v>0.15731327625000002</v>
      </c>
      <c r="L14" s="155">
        <f>L11*0.15</f>
        <v>0.1496584125</v>
      </c>
      <c r="M14" s="155"/>
      <c r="N14" s="155"/>
      <c r="O14" s="155">
        <f>O11*0.075</f>
        <v>7.7644138124999998E-2</v>
      </c>
      <c r="P14" s="50">
        <f t="shared" ref="P14" si="3">SUM(D14:O14)</f>
        <v>0.66287183122500004</v>
      </c>
      <c r="Q14" s="178"/>
      <c r="R14" s="46"/>
      <c r="S14" s="131"/>
      <c r="T14" s="86"/>
    </row>
    <row r="15" spans="1:20" s="47" customFormat="1">
      <c r="B15" s="48"/>
      <c r="C15" s="48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102"/>
      <c r="Q15" s="179"/>
      <c r="R15" s="46"/>
      <c r="S15" s="131"/>
      <c r="T15" s="86"/>
    </row>
    <row r="16" spans="1:20" s="43" customFormat="1">
      <c r="B16" s="43" t="s">
        <v>376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102"/>
      <c r="Q16" s="179"/>
      <c r="R16" s="61"/>
      <c r="S16" s="183"/>
    </row>
    <row r="17" spans="2:19" s="48" customFormat="1" hidden="1">
      <c r="B17" s="48" t="s">
        <v>372</v>
      </c>
      <c r="C17" s="48" t="s">
        <v>375</v>
      </c>
      <c r="D17" s="49">
        <v>0</v>
      </c>
      <c r="E17" s="49">
        <v>0</v>
      </c>
      <c r="F17" s="49">
        <v>0</v>
      </c>
      <c r="G17" s="49">
        <v>0.14000000000000001</v>
      </c>
      <c r="H17" s="49">
        <v>0.19</v>
      </c>
      <c r="I17" s="49">
        <v>0.31</v>
      </c>
      <c r="J17" s="49">
        <v>0.56000000000000005</v>
      </c>
      <c r="K17" s="49">
        <v>0.6</v>
      </c>
      <c r="L17" s="49">
        <v>0.46</v>
      </c>
      <c r="M17" s="49">
        <v>0.2</v>
      </c>
      <c r="N17" s="49">
        <v>0</v>
      </c>
      <c r="O17" s="49">
        <v>0</v>
      </c>
      <c r="P17" s="49">
        <f>SUM(D17:O17)</f>
        <v>2.4600000000000004</v>
      </c>
      <c r="Q17" s="178"/>
      <c r="R17" s="55"/>
      <c r="S17" s="76" t="s">
        <v>126</v>
      </c>
    </row>
    <row r="18" spans="2:19" s="48" customFormat="1" hidden="1">
      <c r="B18" s="48" t="s">
        <v>372</v>
      </c>
      <c r="C18" s="48" t="s">
        <v>374</v>
      </c>
      <c r="D18" s="93">
        <f>D17*(1+R18)</f>
        <v>0</v>
      </c>
      <c r="E18" s="93">
        <f>E17*(1+R18)</f>
        <v>0</v>
      </c>
      <c r="F18" s="93">
        <f>F17*(1+R18)</f>
        <v>0</v>
      </c>
      <c r="G18" s="93">
        <f>G17*(1+R18)</f>
        <v>0.1855</v>
      </c>
      <c r="H18" s="93">
        <f>H17*(1+R18)</f>
        <v>0.25174999999999997</v>
      </c>
      <c r="I18" s="93">
        <f>I17*(1+R18)</f>
        <v>0.41075</v>
      </c>
      <c r="J18" s="93">
        <f>J17*(1+R18)</f>
        <v>0.74199999999999999</v>
      </c>
      <c r="K18" s="93">
        <f>K17*(1+R18)</f>
        <v>0.79499999999999993</v>
      </c>
      <c r="L18" s="93">
        <f>L17*(1+R18)</f>
        <v>0.60950000000000004</v>
      </c>
      <c r="M18" s="93">
        <f>M17*(1+R18)</f>
        <v>0.26500000000000001</v>
      </c>
      <c r="N18" s="93">
        <f>N17*(1+R18)</f>
        <v>0</v>
      </c>
      <c r="O18" s="93">
        <f>O17*(1+R18)</f>
        <v>0</v>
      </c>
      <c r="P18" s="49">
        <f t="shared" ref="P18:P19" si="4">SUM(D18:O18)</f>
        <v>3.2595000000000001</v>
      </c>
      <c r="Q18" s="178"/>
      <c r="R18" s="184">
        <v>0.32500000000000001</v>
      </c>
      <c r="S18" s="76" t="s">
        <v>188</v>
      </c>
    </row>
    <row r="19" spans="2:19" s="48" customFormat="1">
      <c r="B19" s="48" t="s">
        <v>372</v>
      </c>
      <c r="C19" s="48" t="s">
        <v>354</v>
      </c>
      <c r="D19" s="93">
        <f>D18*(1+R19)</f>
        <v>0</v>
      </c>
      <c r="E19" s="93">
        <f>E18*(1+R19)</f>
        <v>0</v>
      </c>
      <c r="F19" s="93">
        <f>F18*(1+R19)</f>
        <v>0</v>
      </c>
      <c r="G19" s="93">
        <f>G18*(1+R19)</f>
        <v>0.27825</v>
      </c>
      <c r="H19" s="93">
        <f>H18*(1+R19)</f>
        <v>0.37762499999999999</v>
      </c>
      <c r="I19" s="93">
        <f>I18*(1+R19)</f>
        <v>0.61612500000000003</v>
      </c>
      <c r="J19" s="93">
        <f>J18*(1+R19)</f>
        <v>1.113</v>
      </c>
      <c r="K19" s="93">
        <f>K18*(1+R19)</f>
        <v>1.1924999999999999</v>
      </c>
      <c r="L19" s="93">
        <f>L18*(1+R19)</f>
        <v>0.91425000000000001</v>
      </c>
      <c r="M19" s="93">
        <f>M18*(1+R19)</f>
        <v>0.39750000000000002</v>
      </c>
      <c r="N19" s="93">
        <f>N18*(1+R19)</f>
        <v>0</v>
      </c>
      <c r="O19" s="93">
        <f>O18*(1+R19)</f>
        <v>0</v>
      </c>
      <c r="P19" s="185">
        <f t="shared" si="4"/>
        <v>4.8892499999999997</v>
      </c>
      <c r="Q19" s="178"/>
      <c r="R19" s="184">
        <v>0.5</v>
      </c>
      <c r="S19" s="76"/>
    </row>
    <row r="20" spans="2:19">
      <c r="B20" s="48"/>
      <c r="C20" s="48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50"/>
      <c r="Q20" s="178"/>
      <c r="R20" s="104"/>
    </row>
    <row r="21" spans="2:19">
      <c r="B21" s="153" t="s">
        <v>377</v>
      </c>
      <c r="C21" s="150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50"/>
      <c r="Q21" s="178"/>
      <c r="R21" s="104"/>
    </row>
    <row r="22" spans="2:19" hidden="1">
      <c r="B22" s="150" t="s">
        <v>68</v>
      </c>
      <c r="C22" s="150" t="s">
        <v>342</v>
      </c>
      <c r="D22" s="157"/>
      <c r="E22" s="157"/>
      <c r="F22" s="157"/>
      <c r="G22" s="157"/>
      <c r="H22" s="157"/>
      <c r="I22" s="157"/>
      <c r="J22" s="157"/>
      <c r="K22" s="155">
        <f t="shared" ref="K22:L24" si="5">K17*0.8</f>
        <v>0.48</v>
      </c>
      <c r="L22" s="155">
        <f t="shared" si="5"/>
        <v>0.36800000000000005</v>
      </c>
      <c r="M22" s="157"/>
      <c r="N22" s="157"/>
      <c r="O22" s="157"/>
      <c r="P22" s="50">
        <f t="shared" ref="P22:P24" si="6">SUM(D22:O22)</f>
        <v>0.84800000000000009</v>
      </c>
      <c r="Q22" s="178"/>
      <c r="R22" s="104"/>
    </row>
    <row r="23" spans="2:19" hidden="1">
      <c r="B23" s="150" t="s">
        <v>68</v>
      </c>
      <c r="C23" s="150" t="s">
        <v>73</v>
      </c>
      <c r="D23" s="157"/>
      <c r="E23" s="157"/>
      <c r="F23" s="157"/>
      <c r="G23" s="157"/>
      <c r="H23" s="157"/>
      <c r="I23" s="157"/>
      <c r="J23" s="157"/>
      <c r="K23" s="155">
        <f t="shared" si="5"/>
        <v>0.63600000000000001</v>
      </c>
      <c r="L23" s="155">
        <f t="shared" si="5"/>
        <v>0.48760000000000003</v>
      </c>
      <c r="M23" s="157"/>
      <c r="N23" s="157"/>
      <c r="O23" s="157"/>
      <c r="P23" s="50">
        <f t="shared" si="6"/>
        <v>1.1236000000000002</v>
      </c>
      <c r="Q23" s="178"/>
      <c r="R23" s="104"/>
    </row>
    <row r="24" spans="2:19">
      <c r="B24" s="150" t="s">
        <v>372</v>
      </c>
      <c r="C24" s="150" t="s">
        <v>354</v>
      </c>
      <c r="D24" s="157"/>
      <c r="E24" s="157"/>
      <c r="F24" s="157"/>
      <c r="G24" s="157"/>
      <c r="H24" s="157"/>
      <c r="I24" s="157"/>
      <c r="J24" s="157"/>
      <c r="K24" s="155">
        <f t="shared" si="5"/>
        <v>0.95399999999999996</v>
      </c>
      <c r="L24" s="155">
        <f t="shared" si="5"/>
        <v>0.73140000000000005</v>
      </c>
      <c r="M24" s="157"/>
      <c r="N24" s="157"/>
      <c r="O24" s="157"/>
      <c r="P24" s="50">
        <f t="shared" si="6"/>
        <v>1.6854</v>
      </c>
      <c r="Q24" s="178" t="s">
        <v>391</v>
      </c>
      <c r="R24" s="104"/>
    </row>
    <row r="25" spans="2:19">
      <c r="B25" s="48"/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50"/>
      <c r="Q25" s="178"/>
      <c r="R25" s="51"/>
    </row>
    <row r="26" spans="2:19">
      <c r="B26" s="153" t="s">
        <v>378</v>
      </c>
      <c r="C26" s="150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50"/>
      <c r="Q26" s="178"/>
      <c r="R26" s="104"/>
    </row>
    <row r="27" spans="2:19" hidden="1">
      <c r="B27" s="150" t="s">
        <v>68</v>
      </c>
      <c r="C27" s="150" t="s">
        <v>342</v>
      </c>
      <c r="D27" s="157"/>
      <c r="E27" s="157"/>
      <c r="F27" s="157"/>
      <c r="G27" s="157"/>
      <c r="H27" s="157"/>
      <c r="I27" s="157"/>
      <c r="J27" s="157"/>
      <c r="K27" s="155"/>
      <c r="L27" s="155"/>
      <c r="M27" s="157"/>
      <c r="N27" s="157">
        <v>0.15</v>
      </c>
      <c r="O27" s="157">
        <v>0.15</v>
      </c>
      <c r="P27" s="50">
        <f t="shared" ref="P27:P28" si="7">SUM(D27:O27)</f>
        <v>0.3</v>
      </c>
      <c r="Q27" s="178"/>
      <c r="R27" s="104"/>
    </row>
    <row r="28" spans="2:19">
      <c r="B28" s="150" t="s">
        <v>372</v>
      </c>
      <c r="C28" s="150" t="s">
        <v>354</v>
      </c>
      <c r="D28" s="157"/>
      <c r="E28" s="157"/>
      <c r="F28" s="157"/>
      <c r="G28" s="157"/>
      <c r="H28" s="157"/>
      <c r="I28" s="157"/>
      <c r="J28" s="157"/>
      <c r="K28" s="155"/>
      <c r="L28" s="155"/>
      <c r="M28" s="157"/>
      <c r="N28" s="157">
        <f>N27*2</f>
        <v>0.3</v>
      </c>
      <c r="O28" s="157">
        <f>O27*2</f>
        <v>0.3</v>
      </c>
      <c r="P28" s="50">
        <f t="shared" si="7"/>
        <v>0.6</v>
      </c>
      <c r="Q28" s="178" t="s">
        <v>392</v>
      </c>
      <c r="R28" s="104"/>
    </row>
    <row r="29" spans="2:19">
      <c r="B29" s="48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50"/>
      <c r="Q29" s="178"/>
      <c r="R29" s="51"/>
    </row>
    <row r="30" spans="2:19" s="47" customFormat="1">
      <c r="B30" s="153" t="s">
        <v>382</v>
      </c>
      <c r="C30" s="153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53"/>
      <c r="Q30" s="179"/>
      <c r="R30" s="46"/>
      <c r="S30" s="131"/>
    </row>
    <row r="31" spans="2:19" s="47" customFormat="1">
      <c r="B31" s="150" t="s">
        <v>372</v>
      </c>
      <c r="C31" s="150" t="s">
        <v>354</v>
      </c>
      <c r="D31" s="155">
        <v>7.8</v>
      </c>
      <c r="E31" s="155">
        <v>7.7</v>
      </c>
      <c r="F31" s="155">
        <v>4</v>
      </c>
      <c r="G31" s="155">
        <v>0.2</v>
      </c>
      <c r="H31" s="155">
        <v>1.3</v>
      </c>
      <c r="I31" s="155">
        <v>4.7</v>
      </c>
      <c r="J31" s="155">
        <v>7.5</v>
      </c>
      <c r="K31" s="155">
        <v>7.3</v>
      </c>
      <c r="L31" s="155">
        <v>6</v>
      </c>
      <c r="M31" s="155">
        <v>8.3000000000000007</v>
      </c>
      <c r="N31" s="155">
        <v>9.6999999999999993</v>
      </c>
      <c r="O31" s="155">
        <v>9</v>
      </c>
      <c r="P31" s="50">
        <f t="shared" ref="P31" si="8">SUM(D31:O31)</f>
        <v>73.5</v>
      </c>
      <c r="Q31" s="178"/>
      <c r="R31" s="46"/>
      <c r="S31" s="75" t="s">
        <v>331</v>
      </c>
    </row>
    <row r="32" spans="2:19" s="47" customFormat="1">
      <c r="B32" s="48"/>
      <c r="C32" s="48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0"/>
      <c r="Q32" s="178"/>
      <c r="R32" s="46"/>
      <c r="S32" s="131"/>
    </row>
    <row r="33" spans="1:19" s="47" customFormat="1">
      <c r="B33" s="43" t="s">
        <v>379</v>
      </c>
      <c r="C33" s="43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3"/>
      <c r="Q33" s="179"/>
      <c r="R33" s="46"/>
      <c r="S33" s="131"/>
    </row>
    <row r="34" spans="1:19" s="47" customFormat="1">
      <c r="B34" s="150" t="s">
        <v>372</v>
      </c>
      <c r="C34" s="150" t="s">
        <v>354</v>
      </c>
      <c r="D34" s="154">
        <f t="shared" ref="D34:O34" si="9">D6+D14+D24+D28+D31</f>
        <v>8.3278834141499996</v>
      </c>
      <c r="E34" s="154">
        <f t="shared" si="9"/>
        <v>8.2155309901999996</v>
      </c>
      <c r="F34" s="154">
        <f t="shared" si="9"/>
        <v>4.3825792000000003</v>
      </c>
      <c r="G34" s="154">
        <f t="shared" si="9"/>
        <v>0.58257920000000007</v>
      </c>
      <c r="H34" s="154">
        <f t="shared" si="9"/>
        <v>1.6825792000000002</v>
      </c>
      <c r="I34" s="154">
        <f t="shared" si="9"/>
        <v>5.0825792000000005</v>
      </c>
      <c r="J34" s="154">
        <f t="shared" si="9"/>
        <v>7.8825792000000003</v>
      </c>
      <c r="K34" s="154">
        <f t="shared" si="9"/>
        <v>8.7938924762500008</v>
      </c>
      <c r="L34" s="154">
        <f t="shared" si="9"/>
        <v>7.2636376125000002</v>
      </c>
      <c r="M34" s="154">
        <f t="shared" si="9"/>
        <v>8.6825792000000011</v>
      </c>
      <c r="N34" s="154">
        <f t="shared" si="9"/>
        <v>10.382579199999999</v>
      </c>
      <c r="O34" s="154">
        <f t="shared" si="9"/>
        <v>9.7602233381249999</v>
      </c>
      <c r="P34" s="53">
        <f t="shared" ref="P34" si="10">SUM(D34:O34)</f>
        <v>81.039222231224997</v>
      </c>
      <c r="Q34" s="179"/>
      <c r="R34" s="46"/>
      <c r="S34" s="131"/>
    </row>
    <row r="35" spans="1:19" s="47" customFormat="1">
      <c r="B35" s="48"/>
      <c r="C35" s="48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3"/>
      <c r="Q35" s="179"/>
      <c r="R35" s="46"/>
      <c r="S35" s="131"/>
    </row>
    <row r="36" spans="1:19" s="47" customFormat="1">
      <c r="B36" s="153" t="s">
        <v>380</v>
      </c>
      <c r="C36" s="153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53"/>
      <c r="Q36" s="179"/>
      <c r="R36" s="46"/>
      <c r="S36" s="131"/>
    </row>
    <row r="37" spans="1:19">
      <c r="B37" s="150"/>
      <c r="C37" s="150" t="s">
        <v>354</v>
      </c>
      <c r="D37" s="173">
        <f t="shared" ref="D37:O37" si="11">D3+D4-D34</f>
        <v>-4.4768834141499996</v>
      </c>
      <c r="E37" s="173">
        <f t="shared" si="11"/>
        <v>-6.2265309901999997</v>
      </c>
      <c r="F37" s="173">
        <f t="shared" si="11"/>
        <v>-0.95057919999999996</v>
      </c>
      <c r="G37" s="173">
        <f t="shared" si="11"/>
        <v>9.1494207999999997</v>
      </c>
      <c r="H37" s="173">
        <f t="shared" si="11"/>
        <v>20.9334208</v>
      </c>
      <c r="I37" s="173">
        <f t="shared" si="11"/>
        <v>10.064420800000001</v>
      </c>
      <c r="J37" s="173">
        <f t="shared" si="11"/>
        <v>3.3964207999999996</v>
      </c>
      <c r="K37" s="173">
        <f t="shared" si="11"/>
        <v>-1.0892476250001337E-2</v>
      </c>
      <c r="L37" s="173">
        <f t="shared" si="11"/>
        <v>-0.47463761250000047</v>
      </c>
      <c r="M37" s="173">
        <f t="shared" si="11"/>
        <v>-2.7285792000000004</v>
      </c>
      <c r="N37" s="173">
        <f t="shared" si="11"/>
        <v>-4.8075791999999984</v>
      </c>
      <c r="O37" s="173">
        <f t="shared" si="11"/>
        <v>-5.1552233381250003</v>
      </c>
      <c r="R37" s="51"/>
    </row>
    <row r="38" spans="1:19">
      <c r="B38" s="48"/>
      <c r="C38" s="48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R38" s="55"/>
    </row>
    <row r="39" spans="1:19">
      <c r="B39" s="153" t="s">
        <v>381</v>
      </c>
      <c r="C39" s="150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R39" s="55"/>
    </row>
    <row r="40" spans="1:19">
      <c r="B40" s="48"/>
      <c r="C40" s="150" t="s">
        <v>344</v>
      </c>
      <c r="D40" s="173">
        <f>IF(O40+D37&gt;45,45,O40+D37)</f>
        <v>27.357097235224998</v>
      </c>
      <c r="E40" s="173">
        <f t="shared" ref="E40:J40" si="12">IF(D40+E37&gt;45,45,D40+E37)</f>
        <v>21.130566245024998</v>
      </c>
      <c r="F40" s="173">
        <f t="shared" si="12"/>
        <v>20.179987045024998</v>
      </c>
      <c r="G40" s="173">
        <f t="shared" si="12"/>
        <v>29.329407845024996</v>
      </c>
      <c r="H40" s="173">
        <f t="shared" si="12"/>
        <v>45</v>
      </c>
      <c r="I40" s="173">
        <f t="shared" si="12"/>
        <v>45</v>
      </c>
      <c r="J40" s="173">
        <f t="shared" si="12"/>
        <v>45</v>
      </c>
      <c r="K40" s="173">
        <f>45</f>
        <v>45</v>
      </c>
      <c r="L40" s="173">
        <f>IF(K40+L37&gt;45,45,K40+L37)</f>
        <v>44.525362387499996</v>
      </c>
      <c r="M40" s="173">
        <f>IF(L40+M37&gt;45,45,L40+M37)</f>
        <v>41.796783187499997</v>
      </c>
      <c r="N40" s="173">
        <f>IF(M40+N37&gt;45,45,M40+N37)</f>
        <v>36.989203987499998</v>
      </c>
      <c r="O40" s="173">
        <f>IF(N40+O37&gt;45,45,N40+O37)</f>
        <v>31.833980649374997</v>
      </c>
      <c r="R40" s="55"/>
    </row>
    <row r="41" spans="1:19">
      <c r="A41" s="201"/>
      <c r="B41" s="48"/>
      <c r="C41" s="48"/>
      <c r="D41" s="5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R41" s="55"/>
    </row>
    <row r="42" spans="1:19" s="22" customFormat="1" ht="42">
      <c r="B42" s="162" t="s">
        <v>87</v>
      </c>
      <c r="C42" s="163" t="s">
        <v>88</v>
      </c>
      <c r="D42" s="164" t="s">
        <v>89</v>
      </c>
      <c r="E42" s="165"/>
      <c r="F42" s="164" t="s">
        <v>90</v>
      </c>
      <c r="G42" s="165"/>
      <c r="H42" s="166" t="s">
        <v>91</v>
      </c>
      <c r="I42" s="167"/>
      <c r="J42" s="167"/>
      <c r="K42" s="167"/>
      <c r="L42" s="167"/>
      <c r="M42" s="167"/>
      <c r="N42" s="167"/>
      <c r="O42" s="167"/>
      <c r="P42" s="168"/>
      <c r="Q42" s="181"/>
      <c r="R42" s="169"/>
      <c r="S42" s="169"/>
    </row>
    <row r="43" spans="1:19">
      <c r="B43" s="150" t="s">
        <v>58</v>
      </c>
      <c r="C43" s="170">
        <v>36500</v>
      </c>
      <c r="D43" s="171">
        <f>0.28*2</f>
        <v>0.56000000000000005</v>
      </c>
      <c r="E43" s="150"/>
      <c r="F43" s="171">
        <f>0.3*2</f>
        <v>0.6</v>
      </c>
      <c r="G43" s="150"/>
      <c r="H43" s="156">
        <f t="shared" ref="H43:H48" si="13">(8*D43+4*F43)/12</f>
        <v>0.57333333333333336</v>
      </c>
      <c r="I43" s="150"/>
      <c r="J43" s="150"/>
      <c r="K43" s="150"/>
      <c r="L43" s="150"/>
      <c r="M43" s="150"/>
      <c r="N43" s="150"/>
      <c r="O43" s="150"/>
      <c r="P43" s="156"/>
      <c r="Q43" s="178"/>
      <c r="R43" s="159"/>
      <c r="S43" s="159" t="s">
        <v>333</v>
      </c>
    </row>
    <row r="44" spans="1:19">
      <c r="B44" s="150" t="s">
        <v>60</v>
      </c>
      <c r="C44" s="170">
        <v>36500</v>
      </c>
      <c r="D44" s="171">
        <f>0.28*2</f>
        <v>0.56000000000000005</v>
      </c>
      <c r="E44" s="150"/>
      <c r="F44" s="171">
        <f>0.33*2</f>
        <v>0.66</v>
      </c>
      <c r="G44" s="150"/>
      <c r="H44" s="156">
        <f t="shared" si="13"/>
        <v>0.59333333333333338</v>
      </c>
      <c r="I44" s="150"/>
      <c r="J44" s="150"/>
      <c r="K44" s="150"/>
      <c r="L44" s="150"/>
      <c r="M44" s="150"/>
      <c r="N44" s="150"/>
      <c r="O44" s="150"/>
      <c r="P44" s="156"/>
      <c r="Q44" s="178"/>
      <c r="R44" s="159"/>
      <c r="S44" s="159" t="s">
        <v>333</v>
      </c>
    </row>
    <row r="45" spans="1:19">
      <c r="B45" s="150" t="s">
        <v>62</v>
      </c>
      <c r="C45" s="170">
        <f>C43*(1+L45)</f>
        <v>48545</v>
      </c>
      <c r="D45" s="171">
        <f>0.26*2</f>
        <v>0.52</v>
      </c>
      <c r="E45" s="150"/>
      <c r="F45" s="171">
        <f>0.28*2</f>
        <v>0.56000000000000005</v>
      </c>
      <c r="G45" s="150"/>
      <c r="H45" s="156">
        <f t="shared" si="13"/>
        <v>0.53333333333333333</v>
      </c>
      <c r="I45" s="150"/>
      <c r="J45" s="150"/>
      <c r="K45" s="150" t="s">
        <v>169</v>
      </c>
      <c r="L45" s="172">
        <v>0.33</v>
      </c>
      <c r="M45" s="150"/>
      <c r="N45" s="150"/>
      <c r="O45" s="150"/>
      <c r="P45" s="156"/>
      <c r="Q45" s="178"/>
      <c r="R45" s="159" t="s">
        <v>168</v>
      </c>
      <c r="S45" s="159" t="s">
        <v>333</v>
      </c>
    </row>
    <row r="46" spans="1:19">
      <c r="B46" s="150" t="s">
        <v>63</v>
      </c>
      <c r="C46" s="170">
        <f t="shared" ref="C46:C48" si="14">C44*(1+L46)</f>
        <v>48545</v>
      </c>
      <c r="D46" s="171">
        <f>0.26*2</f>
        <v>0.52</v>
      </c>
      <c r="E46" s="150"/>
      <c r="F46" s="171">
        <f>0.31*2</f>
        <v>0.62</v>
      </c>
      <c r="G46" s="150"/>
      <c r="H46" s="156">
        <f t="shared" si="13"/>
        <v>0.55333333333333334</v>
      </c>
      <c r="I46" s="150"/>
      <c r="J46" s="150"/>
      <c r="K46" s="150" t="s">
        <v>169</v>
      </c>
      <c r="L46" s="172">
        <v>0.33</v>
      </c>
      <c r="M46" s="150"/>
      <c r="N46" s="150"/>
      <c r="O46" s="150"/>
      <c r="P46" s="156"/>
      <c r="Q46" s="178"/>
      <c r="R46" s="159"/>
      <c r="S46" s="159" t="s">
        <v>333</v>
      </c>
    </row>
    <row r="47" spans="1:19">
      <c r="B47" s="150" t="s">
        <v>64</v>
      </c>
      <c r="C47" s="170">
        <f t="shared" si="14"/>
        <v>64564.850000000006</v>
      </c>
      <c r="D47" s="171">
        <f>0.23*2</f>
        <v>0.46</v>
      </c>
      <c r="E47" s="150"/>
      <c r="F47" s="171">
        <f>0.25*2</f>
        <v>0.5</v>
      </c>
      <c r="G47" s="150"/>
      <c r="H47" s="156">
        <f t="shared" si="13"/>
        <v>0.47333333333333333</v>
      </c>
      <c r="I47" s="150"/>
      <c r="J47" s="150"/>
      <c r="K47" s="150" t="s">
        <v>169</v>
      </c>
      <c r="L47" s="172">
        <v>0.33</v>
      </c>
      <c r="M47" s="150"/>
      <c r="N47" s="150"/>
      <c r="O47" s="150"/>
      <c r="P47" s="156"/>
      <c r="Q47" s="178"/>
      <c r="R47" s="159"/>
      <c r="S47" s="159" t="s">
        <v>333</v>
      </c>
    </row>
    <row r="48" spans="1:19">
      <c r="B48" s="150" t="s">
        <v>65</v>
      </c>
      <c r="C48" s="170">
        <f t="shared" si="14"/>
        <v>64564.850000000006</v>
      </c>
      <c r="D48" s="171">
        <f>0.23*2</f>
        <v>0.46</v>
      </c>
      <c r="E48" s="150"/>
      <c r="F48" s="171">
        <f>0.28*2</f>
        <v>0.56000000000000005</v>
      </c>
      <c r="G48" s="150"/>
      <c r="H48" s="156">
        <f t="shared" si="13"/>
        <v>0.49333333333333335</v>
      </c>
      <c r="I48" s="150"/>
      <c r="J48" s="150"/>
      <c r="K48" s="150" t="s">
        <v>169</v>
      </c>
      <c r="L48" s="172">
        <v>0.33</v>
      </c>
      <c r="M48" s="150"/>
      <c r="N48" s="150"/>
      <c r="O48" s="150"/>
      <c r="P48" s="156"/>
      <c r="Q48" s="178"/>
      <c r="R48" s="159"/>
      <c r="S48" s="159" t="s">
        <v>333</v>
      </c>
    </row>
    <row r="49" spans="2:19">
      <c r="B49" s="48"/>
      <c r="C49" s="98"/>
      <c r="D49" s="74"/>
      <c r="E49" s="48"/>
      <c r="F49" s="74"/>
      <c r="G49" s="48"/>
      <c r="H49" s="49"/>
      <c r="I49" s="48"/>
      <c r="J49" s="48"/>
      <c r="K49" s="48"/>
      <c r="L49" s="63"/>
      <c r="M49" s="48"/>
      <c r="N49" s="48"/>
      <c r="O49" s="48"/>
      <c r="P49" s="50"/>
      <c r="Q49" s="178"/>
      <c r="R49" s="75"/>
    </row>
    <row r="50" spans="2:19">
      <c r="B50" s="153" t="s">
        <v>271</v>
      </c>
      <c r="C50" s="150"/>
      <c r="D50" s="158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R50" s="159"/>
      <c r="S50" s="159"/>
    </row>
    <row r="51" spans="2:19">
      <c r="B51" s="150" t="s">
        <v>272</v>
      </c>
      <c r="C51" s="150"/>
      <c r="D51" s="160">
        <f>(145+175)</f>
        <v>320</v>
      </c>
      <c r="E51" s="161">
        <f>(190+175)</f>
        <v>365</v>
      </c>
      <c r="F51" s="160">
        <f>(130+130)</f>
        <v>260</v>
      </c>
      <c r="G51" s="161">
        <f>(55+50)</f>
        <v>105</v>
      </c>
      <c r="H51" s="161">
        <f>(25+20)</f>
        <v>45</v>
      </c>
      <c r="I51" s="161">
        <f>80+85</f>
        <v>165</v>
      </c>
      <c r="J51" s="161">
        <f>(160+170)</f>
        <v>330</v>
      </c>
      <c r="K51" s="161">
        <f>(150+170)</f>
        <v>320</v>
      </c>
      <c r="L51" s="161">
        <f>(90+105)</f>
        <v>195</v>
      </c>
      <c r="M51" s="161">
        <f>(35+30)</f>
        <v>65</v>
      </c>
      <c r="N51" s="161">
        <f>(20+10)</f>
        <v>30</v>
      </c>
      <c r="O51" s="161">
        <f>(115+115)</f>
        <v>230</v>
      </c>
      <c r="P51" s="161">
        <f>SUM(D51:O51)</f>
        <v>2430</v>
      </c>
      <c r="Q51" s="182"/>
      <c r="R51" s="159" t="s">
        <v>281</v>
      </c>
      <c r="S51" s="159" t="s">
        <v>333</v>
      </c>
    </row>
    <row r="52" spans="2:19">
      <c r="B52" s="150" t="s">
        <v>396</v>
      </c>
      <c r="C52" s="48"/>
      <c r="D52" s="5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R52" s="76"/>
    </row>
    <row r="53" spans="2:19">
      <c r="B53" s="48"/>
      <c r="C53" s="48"/>
      <c r="D53" s="5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R53" s="76"/>
    </row>
    <row r="54" spans="2:19">
      <c r="B54" s="48"/>
      <c r="C54" s="48"/>
      <c r="D54" s="5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R54" s="76"/>
    </row>
    <row r="55" spans="2:19">
      <c r="B55" s="48"/>
      <c r="C55" s="48"/>
      <c r="D55" s="5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R55" s="76"/>
    </row>
    <row r="56" spans="2:19">
      <c r="B56" s="48"/>
      <c r="C56" s="48"/>
      <c r="D56" s="5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R56" s="76"/>
    </row>
    <row r="57" spans="2:19">
      <c r="B57" s="48"/>
      <c r="C57" s="48"/>
      <c r="D57" s="5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R57" s="76"/>
    </row>
    <row r="58" spans="2:19">
      <c r="B58" s="48"/>
      <c r="C58" s="48"/>
      <c r="D58" s="5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R58" s="76"/>
    </row>
    <row r="59" spans="2:19">
      <c r="B59" s="48"/>
      <c r="C59" s="48"/>
      <c r="D59" s="5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R59" s="7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C23" sqref="C23"/>
    </sheetView>
  </sheetViews>
  <sheetFormatPr baseColWidth="10" defaultRowHeight="14" x14ac:dyDescent="0"/>
  <cols>
    <col min="1" max="1" width="15.5" customWidth="1"/>
    <col min="2" max="2" width="13.5" customWidth="1"/>
    <col min="16" max="16" width="15.83203125" customWidth="1"/>
  </cols>
  <sheetData>
    <row r="1" spans="1:17">
      <c r="C1" s="52" t="s">
        <v>40</v>
      </c>
      <c r="D1" s="52" t="s">
        <v>41</v>
      </c>
      <c r="E1" s="52" t="s">
        <v>42</v>
      </c>
      <c r="F1" s="52" t="s">
        <v>43</v>
      </c>
      <c r="G1" s="52" t="s">
        <v>44</v>
      </c>
      <c r="H1" s="52" t="s">
        <v>45</v>
      </c>
      <c r="I1" s="52" t="s">
        <v>46</v>
      </c>
      <c r="J1" s="52" t="s">
        <v>47</v>
      </c>
      <c r="K1" s="52" t="s">
        <v>48</v>
      </c>
      <c r="L1" s="52" t="s">
        <v>49</v>
      </c>
      <c r="M1" s="52" t="s">
        <v>50</v>
      </c>
      <c r="N1" s="52" t="s">
        <v>51</v>
      </c>
      <c r="O1" s="52" t="s">
        <v>129</v>
      </c>
      <c r="P1" s="52" t="s">
        <v>248</v>
      </c>
      <c r="Q1" s="52" t="s">
        <v>54</v>
      </c>
    </row>
    <row r="2" spans="1:17">
      <c r="A2" t="s">
        <v>162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87">
        <f>60*60*24*30/1000000</f>
        <v>2.5920000000000001</v>
      </c>
      <c r="Q2" s="52"/>
    </row>
    <row r="3" spans="1:17" s="85" customFormat="1">
      <c r="B3" s="85" t="s">
        <v>163</v>
      </c>
      <c r="C3" s="54">
        <f>0*P2</f>
        <v>0</v>
      </c>
      <c r="D3" s="54">
        <f>0*P2</f>
        <v>0</v>
      </c>
      <c r="E3" s="54">
        <f>0.05*P2</f>
        <v>0.12960000000000002</v>
      </c>
      <c r="F3" s="54">
        <f>0.08*P2</f>
        <v>0.20736000000000002</v>
      </c>
      <c r="G3" s="54">
        <f>0.4*P2</f>
        <v>1.0368000000000002</v>
      </c>
      <c r="H3" s="54">
        <f>1.2*P2</f>
        <v>3.1103999999999998</v>
      </c>
      <c r="I3" s="54">
        <f>2.4*P2</f>
        <v>6.2207999999999997</v>
      </c>
      <c r="J3" s="54">
        <f>2.3*P2</f>
        <v>5.9615999999999998</v>
      </c>
      <c r="K3" s="54">
        <f>1.5*P2</f>
        <v>3.8879999999999999</v>
      </c>
      <c r="L3" s="54">
        <f>0.35*P2</f>
        <v>0.90720000000000001</v>
      </c>
      <c r="M3" s="54">
        <f>0.1*P2</f>
        <v>0.25920000000000004</v>
      </c>
      <c r="N3" s="54">
        <f>0.03*P2</f>
        <v>7.7759999999999996E-2</v>
      </c>
      <c r="O3" s="54">
        <f>SUM(C3:N3)</f>
        <v>21.798720000000003</v>
      </c>
      <c r="P3" s="87">
        <f>60*60*24*30/1000000</f>
        <v>2.5920000000000001</v>
      </c>
      <c r="Q3" s="54" t="s">
        <v>164</v>
      </c>
    </row>
    <row r="4" spans="1:17" s="85" customFormat="1">
      <c r="B4" s="85">
        <v>2020</v>
      </c>
      <c r="C4" s="54">
        <f>0.02*P3</f>
        <v>5.1840000000000004E-2</v>
      </c>
      <c r="D4" s="54">
        <f>0.03*P3</f>
        <v>7.7759999999999996E-2</v>
      </c>
      <c r="E4" s="54">
        <f>0.02*P3</f>
        <v>5.1840000000000004E-2</v>
      </c>
      <c r="F4" s="54">
        <f>0.12*P3</f>
        <v>0.31103999999999998</v>
      </c>
      <c r="G4" s="54">
        <f>0.9*P3</f>
        <v>2.3328000000000002</v>
      </c>
      <c r="H4" s="54">
        <f>1.5*P3</f>
        <v>3.8879999999999999</v>
      </c>
      <c r="I4" s="54">
        <f>2.6*P3</f>
        <v>6.7392000000000003</v>
      </c>
      <c r="J4" s="54">
        <f>3.2*P3</f>
        <v>8.2944000000000013</v>
      </c>
      <c r="K4" s="54">
        <f>2*P3</f>
        <v>5.1840000000000002</v>
      </c>
      <c r="L4" s="54">
        <f>0.6*P3</f>
        <v>1.5551999999999999</v>
      </c>
      <c r="M4" s="54">
        <f>0.15*P3</f>
        <v>0.38879999999999998</v>
      </c>
      <c r="N4" s="54">
        <f>0.05*P3</f>
        <v>0.12960000000000002</v>
      </c>
      <c r="O4" s="54">
        <f>SUM(C4:N4)</f>
        <v>29.004480000000004</v>
      </c>
      <c r="P4" s="87">
        <f>60*60*24*30/1000000</f>
        <v>2.5920000000000001</v>
      </c>
      <c r="Q4" s="54"/>
    </row>
    <row r="5" spans="1:17">
      <c r="B5">
        <v>2050</v>
      </c>
      <c r="C5" s="54">
        <f>0.06*P3</f>
        <v>0.15551999999999999</v>
      </c>
      <c r="D5" s="54">
        <f>0.06*P3</f>
        <v>0.15551999999999999</v>
      </c>
      <c r="E5" s="54">
        <f>0.1*P3</f>
        <v>0.25920000000000004</v>
      </c>
      <c r="F5" s="54">
        <f>0.2*P3</f>
        <v>0.51840000000000008</v>
      </c>
      <c r="G5" s="54">
        <f>1.1*P3</f>
        <v>2.8512000000000004</v>
      </c>
      <c r="H5" s="54">
        <f>2.2*P3</f>
        <v>5.7024000000000008</v>
      </c>
      <c r="I5" s="54">
        <f>3.45*P3</f>
        <v>8.942400000000001</v>
      </c>
      <c r="J5" s="54">
        <f>3.4*P3</f>
        <v>8.8127999999999993</v>
      </c>
      <c r="K5" s="54">
        <f>2.1*P3</f>
        <v>5.4432</v>
      </c>
      <c r="L5" s="54">
        <f>0.9*P3</f>
        <v>2.3328000000000002</v>
      </c>
      <c r="M5" s="54">
        <f>0.23*P3</f>
        <v>0.59616000000000002</v>
      </c>
      <c r="N5" s="54">
        <f>0.1*P3</f>
        <v>0.25920000000000004</v>
      </c>
      <c r="O5" s="54">
        <f>SUM(C5:N5)</f>
        <v>36.028799999999997</v>
      </c>
      <c r="P5" s="87">
        <f>60*60*24*30/1000000</f>
        <v>2.5920000000000001</v>
      </c>
      <c r="Q5" s="54" t="s">
        <v>164</v>
      </c>
    </row>
    <row r="6" spans="1:17">
      <c r="B6">
        <v>2085</v>
      </c>
      <c r="C6" s="54">
        <f>0.15*P5</f>
        <v>0.38879999999999998</v>
      </c>
      <c r="D6" s="54">
        <f>0.15*P5</f>
        <v>0.38879999999999998</v>
      </c>
      <c r="E6" s="54">
        <f>0.2*P5</f>
        <v>0.51840000000000008</v>
      </c>
      <c r="F6" s="54">
        <f>0.3*P5</f>
        <v>0.77759999999999996</v>
      </c>
      <c r="G6" s="54">
        <f>1.2*P5</f>
        <v>3.1103999999999998</v>
      </c>
      <c r="H6" s="54">
        <f>1.8*P5</f>
        <v>4.6656000000000004</v>
      </c>
      <c r="I6" s="54">
        <f>0.95*P5</f>
        <v>2.4624000000000001</v>
      </c>
      <c r="J6" s="54">
        <f>0.75*P5</f>
        <v>1.944</v>
      </c>
      <c r="K6" s="54">
        <f>0.65*P5</f>
        <v>1.6848000000000001</v>
      </c>
      <c r="L6" s="54">
        <f>0.6*P5</f>
        <v>1.5551999999999999</v>
      </c>
      <c r="M6" s="54">
        <f>0.4*P5</f>
        <v>1.0368000000000002</v>
      </c>
      <c r="N6" s="54">
        <f>0.27*P5</f>
        <v>0.69984000000000002</v>
      </c>
      <c r="O6" s="54">
        <f>SUM(C6:N6)</f>
        <v>19.232639999999996</v>
      </c>
      <c r="Q6" s="54" t="s">
        <v>164</v>
      </c>
    </row>
    <row r="7" spans="1:17"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Q7" s="52"/>
    </row>
    <row r="8" spans="1:17">
      <c r="A8" t="s">
        <v>128</v>
      </c>
    </row>
    <row r="9" spans="1:17">
      <c r="B9" s="48" t="s">
        <v>121</v>
      </c>
      <c r="C9" s="87">
        <v>1</v>
      </c>
      <c r="D9" s="87">
        <v>1</v>
      </c>
      <c r="E9" s="87">
        <v>1.2</v>
      </c>
      <c r="F9" s="87">
        <v>4</v>
      </c>
      <c r="G9" s="87">
        <v>8</v>
      </c>
      <c r="H9" s="87">
        <v>25</v>
      </c>
      <c r="I9" s="87">
        <v>20</v>
      </c>
      <c r="J9" s="87">
        <v>11</v>
      </c>
      <c r="K9" s="87">
        <v>5.2</v>
      </c>
      <c r="L9" s="87">
        <v>3</v>
      </c>
      <c r="M9" s="87">
        <v>2</v>
      </c>
      <c r="N9" s="87">
        <v>1.5</v>
      </c>
      <c r="O9" s="87">
        <f>SUM(C9:N9)</f>
        <v>82.9</v>
      </c>
      <c r="Q9" t="s">
        <v>130</v>
      </c>
    </row>
    <row r="10" spans="1:17">
      <c r="B10" s="48" t="s">
        <v>122</v>
      </c>
      <c r="C10" s="87">
        <v>1</v>
      </c>
      <c r="D10" s="87">
        <v>1.2</v>
      </c>
      <c r="E10" s="87">
        <v>1.2</v>
      </c>
      <c r="F10" s="87">
        <v>4.5</v>
      </c>
      <c r="G10" s="87">
        <v>13.5</v>
      </c>
      <c r="H10" s="87">
        <v>16.5</v>
      </c>
      <c r="I10" s="87">
        <v>12</v>
      </c>
      <c r="J10" s="87">
        <v>8.5</v>
      </c>
      <c r="K10" s="87">
        <v>8</v>
      </c>
      <c r="L10" s="87">
        <v>6.5</v>
      </c>
      <c r="M10" s="87">
        <v>2</v>
      </c>
      <c r="N10" s="87">
        <v>2</v>
      </c>
      <c r="O10" s="87">
        <f>SUM(C10:N10)</f>
        <v>76.900000000000006</v>
      </c>
      <c r="Q10" t="s">
        <v>130</v>
      </c>
    </row>
    <row r="12" spans="1:17">
      <c r="A12" s="43" t="s">
        <v>123</v>
      </c>
      <c r="B12" s="43"/>
      <c r="P12" s="46"/>
      <c r="Q12" s="47"/>
    </row>
    <row r="13" spans="1:17">
      <c r="A13" s="48"/>
      <c r="B13" s="48" t="s">
        <v>121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0.7</v>
      </c>
      <c r="I13" s="49">
        <v>1.65</v>
      </c>
      <c r="J13" s="49">
        <v>1.1599999999999999</v>
      </c>
      <c r="K13" s="49">
        <v>0.75</v>
      </c>
      <c r="L13" s="49">
        <v>0.16</v>
      </c>
      <c r="M13" s="49">
        <v>0.03</v>
      </c>
      <c r="N13" s="49">
        <v>0</v>
      </c>
      <c r="O13" s="49">
        <f>SUM(C13:N13)</f>
        <v>4.45</v>
      </c>
      <c r="P13" s="51"/>
      <c r="Q13" t="s">
        <v>131</v>
      </c>
    </row>
    <row r="14" spans="1:17">
      <c r="A14" s="48"/>
      <c r="B14" s="48" t="s">
        <v>122</v>
      </c>
      <c r="C14" s="49">
        <v>0</v>
      </c>
      <c r="D14" s="49">
        <v>0</v>
      </c>
      <c r="E14" s="49">
        <v>0.02</v>
      </c>
      <c r="F14" s="49">
        <v>0.36</v>
      </c>
      <c r="G14" s="49">
        <v>1.1200000000000001</v>
      </c>
      <c r="H14" s="49">
        <v>1.2</v>
      </c>
      <c r="I14" s="49">
        <v>1.05</v>
      </c>
      <c r="J14" s="49">
        <v>0.9</v>
      </c>
      <c r="K14" s="49">
        <v>0.85</v>
      </c>
      <c r="L14" s="49">
        <v>0.2</v>
      </c>
      <c r="M14" s="49">
        <v>0</v>
      </c>
      <c r="N14" s="49">
        <v>0</v>
      </c>
      <c r="O14" s="49">
        <f>SUM(C14:N14)</f>
        <v>5.7</v>
      </c>
      <c r="P14" s="55"/>
      <c r="Q14" t="s">
        <v>131</v>
      </c>
    </row>
    <row r="17" spans="1:2" ht="15.75" customHeight="1">
      <c r="A17" t="s">
        <v>160</v>
      </c>
    </row>
    <row r="18" spans="1:2">
      <c r="A18">
        <f>1980</f>
        <v>1980</v>
      </c>
      <c r="B18">
        <v>0.2</v>
      </c>
    </row>
    <row r="19" spans="1:2">
      <c r="A19">
        <f>A18+1</f>
        <v>1981</v>
      </c>
      <c r="B19">
        <v>4</v>
      </c>
    </row>
    <row r="20" spans="1:2">
      <c r="A20">
        <f t="shared" ref="A20:A49" si="0">A19+1</f>
        <v>1982</v>
      </c>
      <c r="B20">
        <v>2</v>
      </c>
    </row>
    <row r="21" spans="1:2">
      <c r="A21">
        <f t="shared" si="0"/>
        <v>1983</v>
      </c>
      <c r="B21">
        <v>4.7</v>
      </c>
    </row>
    <row r="22" spans="1:2">
      <c r="A22">
        <f t="shared" si="0"/>
        <v>1984</v>
      </c>
      <c r="B22">
        <v>3.5</v>
      </c>
    </row>
    <row r="23" spans="1:2">
      <c r="A23">
        <f t="shared" si="0"/>
        <v>1985</v>
      </c>
      <c r="B23">
        <v>0.8</v>
      </c>
    </row>
    <row r="24" spans="1:2">
      <c r="A24">
        <f t="shared" si="0"/>
        <v>1986</v>
      </c>
      <c r="B24">
        <v>1.6</v>
      </c>
    </row>
    <row r="25" spans="1:2">
      <c r="A25">
        <f t="shared" si="0"/>
        <v>1987</v>
      </c>
      <c r="B25">
        <v>0.3</v>
      </c>
    </row>
    <row r="26" spans="1:2">
      <c r="A26">
        <f t="shared" si="0"/>
        <v>1988</v>
      </c>
      <c r="B26">
        <v>3.7</v>
      </c>
    </row>
    <row r="27" spans="1:2">
      <c r="A27">
        <f t="shared" si="0"/>
        <v>1989</v>
      </c>
      <c r="B27">
        <v>3.2</v>
      </c>
    </row>
    <row r="28" spans="1:2">
      <c r="A28">
        <f t="shared" si="0"/>
        <v>1990</v>
      </c>
      <c r="B28">
        <v>2</v>
      </c>
    </row>
    <row r="29" spans="1:2">
      <c r="A29">
        <f t="shared" si="0"/>
        <v>1991</v>
      </c>
      <c r="B29">
        <v>1.8</v>
      </c>
    </row>
    <row r="30" spans="1:2">
      <c r="A30">
        <f t="shared" si="0"/>
        <v>1992</v>
      </c>
      <c r="B30">
        <v>2</v>
      </c>
    </row>
    <row r="31" spans="1:2">
      <c r="A31">
        <f t="shared" si="0"/>
        <v>1993</v>
      </c>
      <c r="B31">
        <v>3.8</v>
      </c>
    </row>
    <row r="32" spans="1:2">
      <c r="A32">
        <f t="shared" si="0"/>
        <v>1994</v>
      </c>
      <c r="B32">
        <v>0.7</v>
      </c>
    </row>
    <row r="33" spans="1:2">
      <c r="A33">
        <f t="shared" si="0"/>
        <v>1995</v>
      </c>
      <c r="B33">
        <v>0.6</v>
      </c>
    </row>
    <row r="34" spans="1:2">
      <c r="A34">
        <f t="shared" si="0"/>
        <v>1996</v>
      </c>
      <c r="B34">
        <v>1.1000000000000001</v>
      </c>
    </row>
    <row r="35" spans="1:2">
      <c r="A35">
        <f t="shared" si="0"/>
        <v>1997</v>
      </c>
      <c r="B35">
        <v>0.8</v>
      </c>
    </row>
    <row r="36" spans="1:2">
      <c r="A36">
        <f t="shared" si="0"/>
        <v>1998</v>
      </c>
      <c r="B36">
        <v>6.8</v>
      </c>
    </row>
    <row r="37" spans="1:2">
      <c r="A37">
        <f t="shared" si="0"/>
        <v>1999</v>
      </c>
      <c r="B37">
        <v>0.2</v>
      </c>
    </row>
    <row r="38" spans="1:2">
      <c r="A38">
        <f t="shared" si="0"/>
        <v>2000</v>
      </c>
      <c r="B38">
        <v>6.4</v>
      </c>
    </row>
    <row r="39" spans="1:2">
      <c r="A39">
        <f>A38+1</f>
        <v>2001</v>
      </c>
      <c r="B39">
        <v>0.9</v>
      </c>
    </row>
    <row r="40" spans="1:2">
      <c r="A40">
        <f t="shared" si="0"/>
        <v>2002</v>
      </c>
      <c r="B40">
        <v>0.8</v>
      </c>
    </row>
    <row r="41" spans="1:2">
      <c r="A41">
        <f t="shared" si="0"/>
        <v>2003</v>
      </c>
      <c r="B41">
        <v>7.3</v>
      </c>
    </row>
    <row r="42" spans="1:2">
      <c r="A42">
        <f t="shared" si="0"/>
        <v>2004</v>
      </c>
      <c r="B42">
        <v>5.7</v>
      </c>
    </row>
    <row r="43" spans="1:2">
      <c r="A43">
        <f t="shared" si="0"/>
        <v>2005</v>
      </c>
      <c r="B43">
        <v>1</v>
      </c>
    </row>
    <row r="44" spans="1:2">
      <c r="A44">
        <f t="shared" si="0"/>
        <v>2006</v>
      </c>
      <c r="B44">
        <v>0.9</v>
      </c>
    </row>
    <row r="45" spans="1:2">
      <c r="A45">
        <f t="shared" si="0"/>
        <v>2007</v>
      </c>
      <c r="B45">
        <v>1.1000000000000001</v>
      </c>
    </row>
    <row r="46" spans="1:2">
      <c r="A46">
        <f t="shared" si="0"/>
        <v>2008</v>
      </c>
      <c r="B46">
        <v>1.2</v>
      </c>
    </row>
    <row r="47" spans="1:2" ht="15.75" customHeight="1">
      <c r="A47">
        <f t="shared" si="0"/>
        <v>2009</v>
      </c>
      <c r="B47">
        <v>2.5</v>
      </c>
    </row>
    <row r="48" spans="1:2">
      <c r="A48">
        <f>A47+1</f>
        <v>2010</v>
      </c>
      <c r="B48">
        <v>2.2999999999999998</v>
      </c>
    </row>
    <row r="49" spans="1:2">
      <c r="A49">
        <f t="shared" si="0"/>
        <v>2011</v>
      </c>
      <c r="B49">
        <v>4.8</v>
      </c>
    </row>
    <row r="50" spans="1:2">
      <c r="A50" s="83" t="s">
        <v>124</v>
      </c>
      <c r="B50" s="84">
        <f>SUM(B18:B49)/32</f>
        <v>2.4593749999999996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sqref="A1:B46"/>
    </sheetView>
  </sheetViews>
  <sheetFormatPr baseColWidth="10" defaultRowHeight="14" x14ac:dyDescent="0"/>
  <cols>
    <col min="1" max="1" width="21.33203125" customWidth="1"/>
    <col min="2" max="2" width="56.1640625" customWidth="1"/>
  </cols>
  <sheetData>
    <row r="1" spans="1:2" ht="15" thickBot="1">
      <c r="A1" s="191" t="s">
        <v>198</v>
      </c>
      <c r="B1" s="192"/>
    </row>
    <row r="2" spans="1:2">
      <c r="A2" s="193"/>
      <c r="B2" s="194"/>
    </row>
    <row r="3" spans="1:2">
      <c r="A3" s="195"/>
      <c r="B3" s="196"/>
    </row>
    <row r="4" spans="1:2">
      <c r="A4" s="195"/>
      <c r="B4" s="196"/>
    </row>
    <row r="5" spans="1:2">
      <c r="A5" s="195"/>
      <c r="B5" s="196"/>
    </row>
    <row r="6" spans="1:2">
      <c r="A6" s="195"/>
      <c r="B6" s="196"/>
    </row>
    <row r="7" spans="1:2">
      <c r="A7" s="195"/>
      <c r="B7" s="196"/>
    </row>
    <row r="8" spans="1:2">
      <c r="A8" s="195"/>
      <c r="B8" s="196"/>
    </row>
    <row r="9" spans="1:2">
      <c r="A9" s="195"/>
      <c r="B9" s="196"/>
    </row>
    <row r="10" spans="1:2">
      <c r="A10" s="195"/>
      <c r="B10" s="196"/>
    </row>
    <row r="11" spans="1:2">
      <c r="A11" s="195"/>
      <c r="B11" s="196"/>
    </row>
    <row r="12" spans="1:2" ht="15" thickBot="1">
      <c r="A12" s="197"/>
      <c r="B12" s="198"/>
    </row>
    <row r="13" spans="1:2">
      <c r="A13" s="111" t="s">
        <v>199</v>
      </c>
      <c r="B13" s="112" t="s">
        <v>200</v>
      </c>
    </row>
    <row r="14" spans="1:2">
      <c r="A14" s="113" t="s">
        <v>201</v>
      </c>
      <c r="B14" s="114" t="s">
        <v>202</v>
      </c>
    </row>
    <row r="15" spans="1:2">
      <c r="A15" s="113" t="s">
        <v>203</v>
      </c>
      <c r="B15" s="115" t="s">
        <v>204</v>
      </c>
    </row>
    <row r="16" spans="1:2" ht="15" thickBot="1">
      <c r="A16" s="116" t="s">
        <v>205</v>
      </c>
      <c r="B16" s="117" t="s">
        <v>206</v>
      </c>
    </row>
    <row r="17" spans="1:2">
      <c r="A17" s="189"/>
      <c r="B17" s="108"/>
    </row>
    <row r="18" spans="1:2">
      <c r="A18" s="190"/>
      <c r="B18" s="109"/>
    </row>
    <row r="19" spans="1:2">
      <c r="A19" s="190"/>
      <c r="B19" s="109"/>
    </row>
    <row r="20" spans="1:2">
      <c r="A20" s="190"/>
      <c r="B20" s="109"/>
    </row>
    <row r="21" spans="1:2">
      <c r="A21" s="190"/>
      <c r="B21" s="109"/>
    </row>
    <row r="22" spans="1:2">
      <c r="A22" s="190"/>
      <c r="B22" s="109"/>
    </row>
    <row r="23" spans="1:2">
      <c r="A23" s="190"/>
      <c r="B23" s="109"/>
    </row>
    <row r="24" spans="1:2">
      <c r="A24" s="190"/>
      <c r="B24" s="109"/>
    </row>
    <row r="25" spans="1:2">
      <c r="A25" s="190"/>
      <c r="B25" s="109"/>
    </row>
    <row r="26" spans="1:2">
      <c r="A26" s="190"/>
      <c r="B26" s="109"/>
    </row>
    <row r="27" spans="1:2">
      <c r="A27" s="190"/>
      <c r="B27" s="109"/>
    </row>
    <row r="28" spans="1:2">
      <c r="A28" s="190"/>
      <c r="B28" s="109"/>
    </row>
    <row r="29" spans="1:2" ht="15" thickBot="1">
      <c r="A29" s="118" t="s">
        <v>207</v>
      </c>
      <c r="B29" s="110"/>
    </row>
    <row r="30" spans="1:2" ht="26" thickBot="1">
      <c r="A30" s="119" t="s">
        <v>208</v>
      </c>
      <c r="B30" s="120" t="s">
        <v>209</v>
      </c>
    </row>
    <row r="31" spans="1:2" ht="15" thickBot="1">
      <c r="A31" s="199" t="s">
        <v>210</v>
      </c>
      <c r="B31" s="200"/>
    </row>
    <row r="32" spans="1:2" ht="15" thickBot="1">
      <c r="A32" s="121" t="s">
        <v>211</v>
      </c>
      <c r="B32" s="122" t="s">
        <v>212</v>
      </c>
    </row>
    <row r="33" spans="1:2" ht="15" thickBot="1">
      <c r="A33" s="121" t="s">
        <v>213</v>
      </c>
      <c r="B33" s="123" t="s">
        <v>214</v>
      </c>
    </row>
    <row r="34" spans="1:2" ht="29" thickBot="1">
      <c r="A34" s="124" t="s">
        <v>215</v>
      </c>
      <c r="B34" s="123" t="s">
        <v>216</v>
      </c>
    </row>
    <row r="35" spans="1:2" ht="15" thickBot="1">
      <c r="A35" s="124" t="s">
        <v>217</v>
      </c>
      <c r="B35" s="123" t="s">
        <v>218</v>
      </c>
    </row>
    <row r="36" spans="1:2" ht="15" thickBot="1">
      <c r="A36" s="124" t="s">
        <v>219</v>
      </c>
      <c r="B36" s="125" t="s">
        <v>220</v>
      </c>
    </row>
    <row r="37" spans="1:2" ht="15" thickBot="1">
      <c r="A37" s="121" t="s">
        <v>221</v>
      </c>
      <c r="B37" s="123" t="s">
        <v>222</v>
      </c>
    </row>
    <row r="38" spans="1:2" ht="15" thickBot="1">
      <c r="A38" s="121" t="s">
        <v>223</v>
      </c>
      <c r="B38" s="123" t="s">
        <v>224</v>
      </c>
    </row>
    <row r="39" spans="1:2" ht="15" thickBot="1">
      <c r="A39" s="121" t="s">
        <v>225</v>
      </c>
      <c r="B39" s="123" t="s">
        <v>226</v>
      </c>
    </row>
    <row r="40" spans="1:2" ht="15" thickBot="1">
      <c r="A40" s="199" t="s">
        <v>227</v>
      </c>
      <c r="B40" s="200"/>
    </row>
    <row r="41" spans="1:2" ht="15" thickBot="1">
      <c r="A41" s="121" t="s">
        <v>228</v>
      </c>
      <c r="B41" s="123" t="s">
        <v>229</v>
      </c>
    </row>
    <row r="42" spans="1:2" ht="15" thickBot="1">
      <c r="A42" s="121" t="s">
        <v>230</v>
      </c>
      <c r="B42" s="123" t="s">
        <v>231</v>
      </c>
    </row>
    <row r="43" spans="1:2" ht="15" thickBot="1">
      <c r="A43" s="124" t="s">
        <v>232</v>
      </c>
      <c r="B43" s="123" t="s">
        <v>233</v>
      </c>
    </row>
    <row r="44" spans="1:2" ht="15" thickBot="1">
      <c r="A44" s="124" t="s">
        <v>234</v>
      </c>
      <c r="B44" s="123" t="s">
        <v>235</v>
      </c>
    </row>
    <row r="45" spans="1:2" ht="15" thickBot="1">
      <c r="A45" s="124" t="s">
        <v>236</v>
      </c>
      <c r="B45" s="123" t="s">
        <v>237</v>
      </c>
    </row>
    <row r="46" spans="1:2" ht="15" thickBot="1">
      <c r="A46" s="121" t="s">
        <v>238</v>
      </c>
      <c r="B46" s="123" t="s">
        <v>239</v>
      </c>
    </row>
  </sheetData>
  <mergeCells count="5">
    <mergeCell ref="A17:A28"/>
    <mergeCell ref="A1:B1"/>
    <mergeCell ref="A2:B12"/>
    <mergeCell ref="A31:B31"/>
    <mergeCell ref="A40:B40"/>
  </mergeCells>
  <hyperlinks>
    <hyperlink ref="B13" r:id="rId1" tooltip="Kanton Wallis" display="http://de.wikipedia.org/wiki/Kanton_Wallis"/>
    <hyperlink ref="B15" r:id="rId2" tooltip="La Liène (Seite nicht vorhanden)" display="http://de.wikipedia.org/w/index.php?title=La_Li%C3%A8ne&amp;action=edit&amp;redlink=1"/>
    <hyperlink ref="A30" r:id="rId3" tooltip="Schweizer Landeskoordinaten" display="http://de.wikipedia.org/wiki/Schweizer_Landeskoordinaten"/>
    <hyperlink ref="A34" r:id="rId4" tooltip="Absperrbauwerk" display="http://de.wikipedia.org/wiki/Absperrbauwerk"/>
    <hyperlink ref="A35" r:id="rId5" tooltip="Gewässerbett" display="http://de.wikipedia.org/wiki/Gew%C3%A4sserbett"/>
    <hyperlink ref="A36" r:id="rId6" tooltip="Höhe über dem Meeresspiegel" display="http://de.wikipedia.org/wiki/H%C3%B6he_%C3%BCber_dem_Meeresspiegel"/>
    <hyperlink ref="B36" r:id="rId7" tooltip="Meter über Meer" display="http://de.wikipedia.org/wiki/Meter_%C3%BCber_Meer"/>
    <hyperlink ref="A43" r:id="rId8" tooltip="Gesamtstauraum" display="http://de.wikipedia.org/wiki/Gesamtstauraum"/>
    <hyperlink ref="A44" r:id="rId9" tooltip="Einzugsgebiet (Hydrologie)" display="http://de.wikipedia.org/wiki/Einzugsgebiet_(Hydrologie)"/>
    <hyperlink ref="A45" r:id="rId10" tooltip="Bemessungshochwasser" display="http://de.wikipedia.org/wiki/Bemessungshochwasser"/>
  </hyperlinks>
  <pageMargins left="0.7" right="0.7" top="0.78740157499999996" bottom="0.78740157499999996" header="0.3" footer="0.3"/>
  <drawing r:id="rId1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D14"/>
    </sheetView>
  </sheetViews>
  <sheetFormatPr baseColWidth="10" defaultRowHeight="14" x14ac:dyDescent="0"/>
  <cols>
    <col min="2" max="2" width="10.83203125" style="81"/>
    <col min="3" max="3" width="15.5" style="81" customWidth="1"/>
  </cols>
  <sheetData>
    <row r="1" spans="1:4" s="82" customFormat="1">
      <c r="A1" s="82" t="s">
        <v>170</v>
      </c>
      <c r="B1" s="95">
        <v>2010</v>
      </c>
      <c r="C1" s="94" t="s">
        <v>180</v>
      </c>
      <c r="D1" s="82" t="s">
        <v>182</v>
      </c>
    </row>
    <row r="2" spans="1:4">
      <c r="A2" t="s">
        <v>117</v>
      </c>
      <c r="B2" s="81">
        <v>2962</v>
      </c>
    </row>
    <row r="3" spans="1:4">
      <c r="A3" t="s">
        <v>171</v>
      </c>
      <c r="B3" s="81">
        <v>495</v>
      </c>
      <c r="C3" s="96" t="s">
        <v>181</v>
      </c>
    </row>
    <row r="4" spans="1:4">
      <c r="A4" t="s">
        <v>108</v>
      </c>
      <c r="B4" s="81">
        <v>3765</v>
      </c>
      <c r="C4" s="81">
        <v>1222059</v>
      </c>
      <c r="D4" s="97">
        <f>C4/(B4+B3)/365</f>
        <v>0.78594057495658887</v>
      </c>
    </row>
    <row r="5" spans="1:4">
      <c r="A5" t="s">
        <v>172</v>
      </c>
      <c r="B5" s="81">
        <v>1198</v>
      </c>
      <c r="C5" s="81">
        <v>305036</v>
      </c>
      <c r="D5" s="97">
        <f>C5/B5/365</f>
        <v>0.69759187687241297</v>
      </c>
    </row>
    <row r="6" spans="1:4">
      <c r="A6" t="s">
        <v>173</v>
      </c>
      <c r="B6" s="81">
        <v>884</v>
      </c>
    </row>
    <row r="7" spans="1:4">
      <c r="A7" t="s">
        <v>38</v>
      </c>
      <c r="B7" s="81">
        <v>2269</v>
      </c>
      <c r="C7" s="81">
        <v>707828</v>
      </c>
      <c r="D7" s="97">
        <f t="shared" ref="D7:D14" si="0">C7/B7/365</f>
        <v>0.85467377457935123</v>
      </c>
    </row>
    <row r="8" spans="1:4">
      <c r="A8" t="s">
        <v>174</v>
      </c>
      <c r="B8" s="81">
        <v>4145</v>
      </c>
      <c r="C8" s="81">
        <v>1001409</v>
      </c>
      <c r="D8" s="97">
        <f t="shared" si="0"/>
        <v>0.66190260587933969</v>
      </c>
    </row>
    <row r="9" spans="1:4">
      <c r="A9" t="s">
        <v>175</v>
      </c>
      <c r="B9" s="81">
        <v>2094</v>
      </c>
      <c r="C9" s="81">
        <v>497061</v>
      </c>
      <c r="D9" s="97">
        <f t="shared" si="0"/>
        <v>0.65033952192173328</v>
      </c>
    </row>
    <row r="10" spans="1:4">
      <c r="A10" t="s">
        <v>176</v>
      </c>
      <c r="B10" s="81">
        <v>1154</v>
      </c>
      <c r="C10" s="81">
        <v>130048</v>
      </c>
      <c r="D10" s="97">
        <f t="shared" si="0"/>
        <v>0.30874860520880321</v>
      </c>
    </row>
    <row r="11" spans="1:4">
      <c r="A11" t="s">
        <v>177</v>
      </c>
      <c r="B11" s="81">
        <v>1730</v>
      </c>
      <c r="C11" s="81">
        <v>108063</v>
      </c>
      <c r="D11" s="97">
        <f t="shared" si="0"/>
        <v>0.17113468999920817</v>
      </c>
    </row>
    <row r="12" spans="1:4">
      <c r="A12" t="s">
        <v>178</v>
      </c>
      <c r="B12" s="81">
        <v>15787</v>
      </c>
      <c r="C12" s="81">
        <v>3078157</v>
      </c>
      <c r="D12" s="97">
        <f t="shared" si="0"/>
        <v>0.5341931240460549</v>
      </c>
    </row>
    <row r="13" spans="1:4">
      <c r="B13" s="81">
        <f>SUM(B2:B12)</f>
        <v>36483</v>
      </c>
      <c r="D13" s="97"/>
    </row>
    <row r="14" spans="1:4" ht="20.25" customHeight="1">
      <c r="A14" t="s">
        <v>179</v>
      </c>
      <c r="B14" s="81">
        <f>B3+B4+B5+B7+B8+B9+B10+B11+B12</f>
        <v>32637</v>
      </c>
      <c r="C14" s="81">
        <f>C4+C5+C7+C8+C9+C10+C11+C12</f>
        <v>7049661</v>
      </c>
      <c r="D14" s="97">
        <f t="shared" si="0"/>
        <v>0.59178661415042433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C8" sqref="C8"/>
    </sheetView>
  </sheetViews>
  <sheetFormatPr baseColWidth="10" defaultRowHeight="14" x14ac:dyDescent="0"/>
  <cols>
    <col min="1" max="1" width="14.1640625" customWidth="1"/>
  </cols>
  <sheetData>
    <row r="1" spans="1:17">
      <c r="B1" s="147" t="s">
        <v>306</v>
      </c>
      <c r="C1" s="147" t="s">
        <v>307</v>
      </c>
      <c r="D1" s="147" t="s">
        <v>308</v>
      </c>
      <c r="E1" s="147" t="s">
        <v>309</v>
      </c>
      <c r="F1" s="147" t="s">
        <v>310</v>
      </c>
      <c r="G1" s="147" t="s">
        <v>311</v>
      </c>
      <c r="H1" s="147" t="s">
        <v>312</v>
      </c>
      <c r="I1" s="147" t="s">
        <v>313</v>
      </c>
      <c r="J1" s="147" t="s">
        <v>314</v>
      </c>
      <c r="K1" s="147" t="s">
        <v>315</v>
      </c>
      <c r="L1" s="147" t="s">
        <v>316</v>
      </c>
      <c r="M1" s="147" t="s">
        <v>317</v>
      </c>
      <c r="N1" s="147" t="s">
        <v>318</v>
      </c>
      <c r="O1" s="147" t="s">
        <v>319</v>
      </c>
      <c r="P1" s="147" t="s">
        <v>320</v>
      </c>
    </row>
    <row r="2" spans="1:17">
      <c r="A2" t="s">
        <v>321</v>
      </c>
      <c r="B2" s="148">
        <v>50174</v>
      </c>
      <c r="C2" s="148">
        <v>47.1</v>
      </c>
      <c r="D2" s="148">
        <v>29.6</v>
      </c>
      <c r="E2" s="148">
        <v>1871</v>
      </c>
      <c r="F2" s="148">
        <v>3150</v>
      </c>
      <c r="G2" s="148">
        <v>550</v>
      </c>
      <c r="H2" s="148">
        <v>18.8</v>
      </c>
      <c r="I2" s="148">
        <v>1.9</v>
      </c>
      <c r="J2" s="148">
        <v>72</v>
      </c>
      <c r="K2" s="148">
        <v>0.4</v>
      </c>
      <c r="L2" s="148">
        <v>0.9</v>
      </c>
      <c r="M2" s="148">
        <v>66.7</v>
      </c>
      <c r="N2" s="148">
        <v>21.9</v>
      </c>
      <c r="O2" s="148">
        <v>29.1</v>
      </c>
      <c r="P2" s="148"/>
      <c r="Q2" t="s">
        <v>321</v>
      </c>
    </row>
    <row r="3" spans="1:17">
      <c r="A3" t="s">
        <v>323</v>
      </c>
      <c r="B3" s="149">
        <v>50221</v>
      </c>
      <c r="C3" s="149">
        <v>37</v>
      </c>
      <c r="D3" s="149">
        <v>27.7</v>
      </c>
      <c r="E3" s="149">
        <v>2330</v>
      </c>
      <c r="F3" s="149">
        <v>3250</v>
      </c>
      <c r="G3" s="149">
        <v>1150</v>
      </c>
      <c r="H3" s="149">
        <v>21.3</v>
      </c>
      <c r="I3" s="149">
        <v>1.6</v>
      </c>
      <c r="J3" s="149">
        <v>72.400000000000006</v>
      </c>
      <c r="K3" s="149">
        <v>5.5</v>
      </c>
      <c r="L3" s="149">
        <v>0</v>
      </c>
      <c r="M3" s="149">
        <v>28.8</v>
      </c>
      <c r="N3" s="149">
        <v>7</v>
      </c>
      <c r="O3" s="149">
        <v>17.8</v>
      </c>
      <c r="P3" s="149"/>
    </row>
    <row r="4" spans="1:17">
      <c r="A4" t="s">
        <v>324</v>
      </c>
      <c r="B4" s="149">
        <v>50222</v>
      </c>
      <c r="C4" s="149">
        <v>39.9</v>
      </c>
      <c r="D4" s="149">
        <v>26</v>
      </c>
      <c r="E4" s="149">
        <v>1572</v>
      </c>
      <c r="F4" s="149">
        <v>2850</v>
      </c>
      <c r="G4" s="149">
        <v>750</v>
      </c>
      <c r="H4" s="149">
        <v>19.2</v>
      </c>
      <c r="I4" s="149">
        <v>1.1000000000000001</v>
      </c>
      <c r="J4" s="149">
        <v>68.3</v>
      </c>
      <c r="K4" s="149">
        <v>0</v>
      </c>
      <c r="L4" s="149">
        <v>1.5</v>
      </c>
      <c r="M4" s="149">
        <v>85.6</v>
      </c>
      <c r="N4" s="149">
        <v>37.9</v>
      </c>
      <c r="O4" s="149">
        <v>31.5</v>
      </c>
      <c r="P4" s="149"/>
    </row>
    <row r="5" spans="1:17">
      <c r="A5" t="s">
        <v>325</v>
      </c>
      <c r="B5" s="149">
        <v>50224</v>
      </c>
      <c r="C5" s="149">
        <v>41.9</v>
      </c>
      <c r="D5" s="149"/>
      <c r="E5" s="149">
        <v>1323</v>
      </c>
      <c r="F5" s="149">
        <v>1950</v>
      </c>
      <c r="G5" s="149">
        <v>550</v>
      </c>
      <c r="H5" s="149">
        <v>13</v>
      </c>
      <c r="I5" s="149">
        <v>0</v>
      </c>
      <c r="J5" s="149">
        <v>35</v>
      </c>
      <c r="K5" s="149">
        <v>0</v>
      </c>
      <c r="L5" s="149">
        <v>8.3000000000000007</v>
      </c>
      <c r="M5" s="149">
        <v>83.3</v>
      </c>
      <c r="N5" s="149">
        <v>34.1</v>
      </c>
      <c r="O5" s="149">
        <v>44</v>
      </c>
      <c r="P5" s="149" t="s">
        <v>322</v>
      </c>
    </row>
    <row r="7" spans="1:17">
      <c r="C7">
        <f>SUM(C2:C6)</f>
        <v>165.9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9" sqref="A19:XFD19"/>
    </sheetView>
  </sheetViews>
  <sheetFormatPr baseColWidth="10" defaultRowHeight="14" x14ac:dyDescent="0"/>
  <cols>
    <col min="1" max="1" width="42.5" customWidth="1"/>
    <col min="2" max="13" width="5.5" customWidth="1"/>
  </cols>
  <sheetData>
    <row r="1" spans="1:13" s="82" customFormat="1">
      <c r="A1" s="82" t="s">
        <v>327</v>
      </c>
      <c r="B1" s="82" t="s">
        <v>40</v>
      </c>
      <c r="C1" s="82" t="s">
        <v>41</v>
      </c>
      <c r="D1" s="82" t="s">
        <v>42</v>
      </c>
      <c r="E1" s="82" t="s">
        <v>43</v>
      </c>
      <c r="F1" s="82" t="s">
        <v>44</v>
      </c>
      <c r="G1" s="82" t="s">
        <v>45</v>
      </c>
      <c r="H1" s="82" t="s">
        <v>46</v>
      </c>
      <c r="I1" s="82" t="s">
        <v>47</v>
      </c>
      <c r="J1" s="82" t="s">
        <v>48</v>
      </c>
      <c r="K1" s="82" t="s">
        <v>49</v>
      </c>
      <c r="L1" s="82" t="s">
        <v>328</v>
      </c>
      <c r="M1" s="82" t="s">
        <v>51</v>
      </c>
    </row>
    <row r="2" spans="1:13">
      <c r="A2" s="150" t="s">
        <v>352</v>
      </c>
      <c r="D2">
        <v>1</v>
      </c>
      <c r="E2">
        <v>1</v>
      </c>
      <c r="F2">
        <v>1</v>
      </c>
      <c r="G2">
        <v>1</v>
      </c>
      <c r="H2">
        <v>1</v>
      </c>
    </row>
    <row r="3" spans="1:13">
      <c r="A3" s="150" t="s">
        <v>353</v>
      </c>
      <c r="D3">
        <v>1</v>
      </c>
      <c r="E3">
        <v>1</v>
      </c>
      <c r="F3">
        <v>1</v>
      </c>
      <c r="G3">
        <v>1</v>
      </c>
      <c r="H3">
        <v>1</v>
      </c>
    </row>
    <row r="4" spans="1:13">
      <c r="A4" s="150" t="s">
        <v>356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>
      <c r="A5" s="150" t="s">
        <v>357</v>
      </c>
    </row>
    <row r="6" spans="1:13">
      <c r="A6" s="153" t="s">
        <v>382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>
      <c r="A7" t="s">
        <v>383</v>
      </c>
      <c r="B7">
        <v>1</v>
      </c>
      <c r="C7">
        <v>1</v>
      </c>
      <c r="I7">
        <v>1</v>
      </c>
      <c r="J7">
        <v>1</v>
      </c>
      <c r="M7">
        <v>0.5</v>
      </c>
    </row>
    <row r="8" spans="1:13">
      <c r="A8" t="s">
        <v>384</v>
      </c>
      <c r="B8">
        <v>1</v>
      </c>
      <c r="C8">
        <v>1</v>
      </c>
      <c r="I8">
        <v>1</v>
      </c>
      <c r="J8">
        <v>1</v>
      </c>
      <c r="M8">
        <v>0.5</v>
      </c>
    </row>
    <row r="9" spans="1:13">
      <c r="A9" t="s">
        <v>385</v>
      </c>
      <c r="B9">
        <v>1</v>
      </c>
      <c r="C9">
        <v>1</v>
      </c>
      <c r="I9">
        <v>1</v>
      </c>
      <c r="J9">
        <v>1</v>
      </c>
      <c r="M9">
        <v>0.5</v>
      </c>
    </row>
    <row r="10" spans="1:13">
      <c r="A10" t="s">
        <v>386</v>
      </c>
      <c r="B10">
        <v>1</v>
      </c>
      <c r="C10">
        <v>1</v>
      </c>
      <c r="I10">
        <v>1</v>
      </c>
      <c r="J10">
        <v>1</v>
      </c>
      <c r="M10">
        <v>0.5</v>
      </c>
    </row>
    <row r="11" spans="1:13">
      <c r="A11" t="s">
        <v>376</v>
      </c>
      <c r="H11">
        <v>1</v>
      </c>
      <c r="I11">
        <v>1</v>
      </c>
      <c r="J11">
        <v>1</v>
      </c>
    </row>
    <row r="12" spans="1:13">
      <c r="A12" t="s">
        <v>387</v>
      </c>
      <c r="L12">
        <v>0.5</v>
      </c>
      <c r="M12">
        <v>0.5</v>
      </c>
    </row>
    <row r="15" spans="1:13">
      <c r="A15" t="s">
        <v>388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13">
      <c r="A16" t="s">
        <v>389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>
      <c r="A17" t="s">
        <v>390</v>
      </c>
      <c r="D17">
        <v>1</v>
      </c>
      <c r="E17">
        <v>1</v>
      </c>
      <c r="F17">
        <v>1</v>
      </c>
      <c r="G17">
        <v>1</v>
      </c>
      <c r="H17">
        <v>1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B27" sqref="B27"/>
    </sheetView>
  </sheetViews>
  <sheetFormatPr baseColWidth="10" defaultRowHeight="14" x14ac:dyDescent="0"/>
  <cols>
    <col min="1" max="1" width="24.1640625" style="77" customWidth="1"/>
    <col min="2" max="2" width="17.5" style="77" customWidth="1"/>
    <col min="3" max="3" width="7.5" style="78" customWidth="1"/>
    <col min="4" max="8" width="7.5" style="79" customWidth="1"/>
    <col min="9" max="9" width="8.83203125" style="79" customWidth="1"/>
    <col min="10" max="10" width="8.1640625" style="79" customWidth="1"/>
    <col min="11" max="12" width="7.5" style="79" customWidth="1"/>
    <col min="13" max="13" width="8.5" style="79" customWidth="1"/>
    <col min="14" max="14" width="7.5" style="79" customWidth="1"/>
    <col min="15" max="15" width="8.1640625" style="57" customWidth="1"/>
    <col min="16" max="16" width="30.5" style="80" customWidth="1"/>
    <col min="17" max="17" width="61.5" style="75" customWidth="1"/>
  </cols>
  <sheetData>
    <row r="1" spans="1:21" s="33" customFormat="1" ht="18">
      <c r="A1" s="28" t="s">
        <v>38</v>
      </c>
      <c r="B1" s="29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0" t="s">
        <v>46</v>
      </c>
      <c r="J1" s="30" t="s">
        <v>47</v>
      </c>
      <c r="K1" s="30" t="s">
        <v>48</v>
      </c>
      <c r="L1" s="30" t="s">
        <v>49</v>
      </c>
      <c r="M1" s="30" t="s">
        <v>50</v>
      </c>
      <c r="N1" s="30" t="s">
        <v>51</v>
      </c>
      <c r="O1" s="31" t="s">
        <v>52</v>
      </c>
      <c r="P1" s="32" t="s">
        <v>53</v>
      </c>
      <c r="Q1" s="32" t="s">
        <v>54</v>
      </c>
    </row>
    <row r="2" spans="1:21" s="38" customFormat="1">
      <c r="A2" s="34" t="s">
        <v>395</v>
      </c>
      <c r="B2" s="34" t="s">
        <v>393</v>
      </c>
      <c r="C2" s="35" t="s">
        <v>55</v>
      </c>
      <c r="D2" s="35" t="s">
        <v>55</v>
      </c>
      <c r="E2" s="35" t="s">
        <v>55</v>
      </c>
      <c r="F2" s="35" t="s">
        <v>55</v>
      </c>
      <c r="G2" s="35" t="s">
        <v>55</v>
      </c>
      <c r="H2" s="35" t="s">
        <v>55</v>
      </c>
      <c r="I2" s="35" t="s">
        <v>55</v>
      </c>
      <c r="J2" s="35" t="s">
        <v>55</v>
      </c>
      <c r="K2" s="35" t="s">
        <v>55</v>
      </c>
      <c r="L2" s="35" t="s">
        <v>55</v>
      </c>
      <c r="M2" s="35" t="s">
        <v>55</v>
      </c>
      <c r="N2" s="35" t="s">
        <v>55</v>
      </c>
      <c r="O2" s="36" t="s">
        <v>55</v>
      </c>
      <c r="P2" s="37"/>
      <c r="Q2" s="37"/>
    </row>
    <row r="3" spans="1:21">
      <c r="A3" s="150" t="s">
        <v>326</v>
      </c>
      <c r="B3" s="150" t="s">
        <v>339</v>
      </c>
      <c r="C3" s="151">
        <v>0.70135999999999998</v>
      </c>
      <c r="D3" s="151">
        <v>0.45776</v>
      </c>
      <c r="E3" s="151">
        <v>0.68733999999999995</v>
      </c>
      <c r="F3" s="151">
        <v>2.5331000000000001</v>
      </c>
      <c r="G3" s="151">
        <v>11.603</v>
      </c>
      <c r="H3" s="151">
        <v>20.109000000000002</v>
      </c>
      <c r="I3" s="151">
        <v>17.327999999999999</v>
      </c>
      <c r="J3" s="151">
        <v>11.071999999999999</v>
      </c>
      <c r="K3" s="151">
        <v>6.8131000000000004</v>
      </c>
      <c r="L3" s="151">
        <v>2.3201999999999998</v>
      </c>
      <c r="M3" s="151">
        <v>1.5386</v>
      </c>
      <c r="N3" s="151">
        <v>0.90749999999999997</v>
      </c>
      <c r="O3" s="50">
        <f t="shared" ref="O3:O6" si="0">SUM(C3:N3)</f>
        <v>76.070960000000014</v>
      </c>
      <c r="P3" s="51"/>
      <c r="Q3" s="75" t="s">
        <v>338</v>
      </c>
      <c r="R3">
        <v>360</v>
      </c>
      <c r="S3" t="s">
        <v>59</v>
      </c>
    </row>
    <row r="4" spans="1:21">
      <c r="A4" s="150" t="s">
        <v>335</v>
      </c>
      <c r="B4" s="150" t="s">
        <v>339</v>
      </c>
      <c r="C4" s="152">
        <v>0.44500000000000001</v>
      </c>
      <c r="D4" s="152">
        <v>0.28699999999999998</v>
      </c>
      <c r="E4" s="152">
        <v>0.47699999999999998</v>
      </c>
      <c r="F4" s="152">
        <v>1.887</v>
      </c>
      <c r="G4" s="152">
        <v>6.1260000000000003</v>
      </c>
      <c r="H4" s="152">
        <v>7.0620000000000003</v>
      </c>
      <c r="I4" s="152">
        <v>6.181</v>
      </c>
      <c r="J4" s="152">
        <v>3.6349999999999998</v>
      </c>
      <c r="K4" s="152">
        <v>2.1850000000000001</v>
      </c>
      <c r="L4" s="152">
        <v>1.5780000000000001</v>
      </c>
      <c r="M4" s="152">
        <v>1.004</v>
      </c>
      <c r="N4" s="152">
        <v>0.54900000000000004</v>
      </c>
      <c r="O4" s="50">
        <f t="shared" si="0"/>
        <v>31.416</v>
      </c>
      <c r="P4" s="51">
        <f>O4/O3</f>
        <v>0.41298282550923499</v>
      </c>
      <c r="Q4" s="75" t="s">
        <v>338</v>
      </c>
    </row>
    <row r="5" spans="1:21">
      <c r="A5" s="48" t="s">
        <v>326</v>
      </c>
      <c r="B5" s="48" t="s">
        <v>183</v>
      </c>
      <c r="C5" s="87">
        <v>1</v>
      </c>
      <c r="D5" s="87">
        <v>1.2</v>
      </c>
      <c r="E5" s="87">
        <v>1.2</v>
      </c>
      <c r="F5" s="87">
        <v>4.5</v>
      </c>
      <c r="G5" s="87">
        <v>13.5</v>
      </c>
      <c r="H5" s="87">
        <v>16.5</v>
      </c>
      <c r="I5" s="87">
        <v>12</v>
      </c>
      <c r="J5" s="87">
        <v>8.5</v>
      </c>
      <c r="K5" s="87">
        <v>8</v>
      </c>
      <c r="L5" s="87">
        <v>6.5</v>
      </c>
      <c r="M5" s="87">
        <v>2</v>
      </c>
      <c r="N5" s="87">
        <v>2</v>
      </c>
      <c r="O5" s="50">
        <f t="shared" si="0"/>
        <v>76.900000000000006</v>
      </c>
      <c r="P5" s="51"/>
    </row>
    <row r="6" spans="1:21">
      <c r="A6" s="48" t="s">
        <v>335</v>
      </c>
      <c r="B6" s="48" t="s">
        <v>183</v>
      </c>
      <c r="C6" s="130">
        <v>1.1279999999999999</v>
      </c>
      <c r="D6" s="97">
        <v>0.751</v>
      </c>
      <c r="E6" s="97">
        <v>0.82499999999999996</v>
      </c>
      <c r="F6" s="97">
        <v>6.6040000000000001</v>
      </c>
      <c r="G6" s="97">
        <v>6.0259999999999998</v>
      </c>
      <c r="H6" s="97">
        <v>8.6129999999999995</v>
      </c>
      <c r="I6" s="97">
        <v>6.266</v>
      </c>
      <c r="J6" s="97">
        <v>2.23</v>
      </c>
      <c r="K6" s="97">
        <v>2.6949999999999998</v>
      </c>
      <c r="L6" s="97">
        <v>3.7</v>
      </c>
      <c r="M6" s="97">
        <v>1.175</v>
      </c>
      <c r="N6" s="97">
        <v>0.84099999999999997</v>
      </c>
      <c r="O6" s="50">
        <f t="shared" si="0"/>
        <v>40.853999999999999</v>
      </c>
      <c r="P6" s="51"/>
      <c r="Q6" s="75" t="s">
        <v>279</v>
      </c>
      <c r="R6">
        <v>400</v>
      </c>
      <c r="S6" t="s">
        <v>61</v>
      </c>
      <c r="U6">
        <f>R2*(R3*60/1000)*R6</f>
        <v>0</v>
      </c>
    </row>
    <row r="7" spans="1:21">
      <c r="A7" s="150" t="s">
        <v>326</v>
      </c>
      <c r="B7" s="150" t="s">
        <v>73</v>
      </c>
      <c r="C7" s="156">
        <v>1.129</v>
      </c>
      <c r="D7" s="156">
        <v>0.72199999999999998</v>
      </c>
      <c r="E7" s="156">
        <v>0.96899999999999997</v>
      </c>
      <c r="F7" s="156">
        <v>3.2210000000000001</v>
      </c>
      <c r="G7" s="156">
        <v>14.395</v>
      </c>
      <c r="H7" s="156">
        <v>18.786000000000001</v>
      </c>
      <c r="I7" s="156">
        <v>13.97</v>
      </c>
      <c r="J7" s="156">
        <v>9.9949999999999992</v>
      </c>
      <c r="K7" s="156">
        <v>6.944</v>
      </c>
      <c r="L7" s="156">
        <v>4.8860000000000001</v>
      </c>
      <c r="M7" s="156">
        <v>3.012</v>
      </c>
      <c r="N7" s="156">
        <v>1.7250000000000001</v>
      </c>
      <c r="O7" s="50">
        <f t="shared" ref="O7" si="1">SUM(C7:N7)</f>
        <v>79.753999999999991</v>
      </c>
      <c r="P7" s="51"/>
      <c r="Q7" s="75" t="s">
        <v>338</v>
      </c>
    </row>
    <row r="8" spans="1:21">
      <c r="A8" s="150" t="s">
        <v>335</v>
      </c>
      <c r="B8" s="150" t="s">
        <v>73</v>
      </c>
      <c r="C8" s="152">
        <v>0.747</v>
      </c>
      <c r="D8" s="152">
        <v>0.45400000000000001</v>
      </c>
      <c r="E8" s="152">
        <v>0.86899999999999999</v>
      </c>
      <c r="F8" s="152">
        <v>3.1320000000000001</v>
      </c>
      <c r="G8" s="152">
        <v>7.0609999999999999</v>
      </c>
      <c r="H8" s="152">
        <v>5.0519999999999996</v>
      </c>
      <c r="I8" s="152">
        <v>4.29</v>
      </c>
      <c r="J8" s="152">
        <v>3.266</v>
      </c>
      <c r="K8" s="152">
        <v>2.2269999999999999</v>
      </c>
      <c r="L8" s="152">
        <v>1.611</v>
      </c>
      <c r="M8" s="152">
        <v>1.4219999999999999</v>
      </c>
      <c r="N8" s="152">
        <v>0.81100000000000005</v>
      </c>
      <c r="O8" s="50">
        <f t="shared" ref="O8:O12" si="2">SUM(C8:N8)</f>
        <v>30.941999999999997</v>
      </c>
      <c r="P8" s="51"/>
      <c r="Q8" s="75" t="s">
        <v>338</v>
      </c>
    </row>
    <row r="9" spans="1:21">
      <c r="A9" s="48" t="s">
        <v>326</v>
      </c>
      <c r="B9" s="48" t="s">
        <v>278</v>
      </c>
      <c r="C9" s="97">
        <v>0.5</v>
      </c>
      <c r="D9" s="87">
        <v>1.2</v>
      </c>
      <c r="E9" s="87">
        <v>1.2</v>
      </c>
      <c r="F9" s="87">
        <v>4.5</v>
      </c>
      <c r="G9" s="87">
        <v>13.5</v>
      </c>
      <c r="H9" s="87">
        <v>16.5</v>
      </c>
      <c r="I9" s="87">
        <v>12</v>
      </c>
      <c r="J9" s="87">
        <v>8.5</v>
      </c>
      <c r="K9" s="87">
        <v>8</v>
      </c>
      <c r="L9" s="87">
        <v>6.5</v>
      </c>
      <c r="M9" s="87">
        <v>2</v>
      </c>
      <c r="N9" s="87">
        <v>2</v>
      </c>
      <c r="O9" s="50">
        <f t="shared" ref="O9" si="3">SUM(C9:N9)</f>
        <v>76.400000000000006</v>
      </c>
      <c r="P9" s="51"/>
      <c r="Q9" s="75" t="s">
        <v>283</v>
      </c>
    </row>
    <row r="10" spans="1:21">
      <c r="A10" s="48" t="s">
        <v>335</v>
      </c>
      <c r="B10" s="48" t="s">
        <v>278</v>
      </c>
      <c r="C10" s="97">
        <v>0.6</v>
      </c>
      <c r="D10" s="97">
        <v>0.86599999999999999</v>
      </c>
      <c r="E10" s="97">
        <v>0.87</v>
      </c>
      <c r="F10" s="97">
        <v>4.2610000000000001</v>
      </c>
      <c r="G10" s="97">
        <v>6.125</v>
      </c>
      <c r="H10" s="97">
        <v>9.3680000000000003</v>
      </c>
      <c r="I10" s="97">
        <v>5.734</v>
      </c>
      <c r="J10" s="97">
        <v>1.998</v>
      </c>
      <c r="K10" s="97">
        <v>3.0259999999999998</v>
      </c>
      <c r="L10" s="97">
        <v>4.718</v>
      </c>
      <c r="M10" s="97">
        <v>0.98699999999999999</v>
      </c>
      <c r="N10" s="97">
        <v>0.74099999999999999</v>
      </c>
      <c r="O10" s="50">
        <f t="shared" si="2"/>
        <v>39.294000000000004</v>
      </c>
      <c r="P10" s="51"/>
      <c r="Q10" s="75" t="s">
        <v>280</v>
      </c>
    </row>
    <row r="11" spans="1:21">
      <c r="A11" s="150" t="s">
        <v>394</v>
      </c>
      <c r="B11" s="150" t="s">
        <v>344</v>
      </c>
      <c r="C11" s="152">
        <v>2.1669999999999998</v>
      </c>
      <c r="D11" s="157">
        <v>1.2350000000000001</v>
      </c>
      <c r="E11" s="157">
        <v>1.7330000000000001</v>
      </c>
      <c r="F11" s="157">
        <v>5.8579999999999997</v>
      </c>
      <c r="G11" s="157">
        <v>17.279</v>
      </c>
      <c r="H11" s="157">
        <v>11.678000000000001</v>
      </c>
      <c r="I11" s="157">
        <v>8.1869999999999994</v>
      </c>
      <c r="J11" s="157">
        <v>6.3769999999999998</v>
      </c>
      <c r="K11" s="157">
        <v>5.0469999999999997</v>
      </c>
      <c r="L11" s="157">
        <v>4.4660000000000002</v>
      </c>
      <c r="M11" s="157">
        <v>3.859</v>
      </c>
      <c r="N11" s="157">
        <v>2.9609999999999999</v>
      </c>
      <c r="O11" s="50">
        <f t="shared" si="2"/>
        <v>70.846999999999994</v>
      </c>
      <c r="P11" s="51" t="s">
        <v>288</v>
      </c>
      <c r="Q11" s="75" t="s">
        <v>338</v>
      </c>
    </row>
    <row r="12" spans="1:21">
      <c r="A12" s="150" t="s">
        <v>335</v>
      </c>
      <c r="B12" s="150" t="s">
        <v>344</v>
      </c>
      <c r="C12" s="157">
        <v>1.6839999999999999</v>
      </c>
      <c r="D12" s="157">
        <v>0.754</v>
      </c>
      <c r="E12" s="157">
        <v>1.6990000000000001</v>
      </c>
      <c r="F12" s="157">
        <v>3.8740000000000001</v>
      </c>
      <c r="G12" s="157">
        <v>5.3369999999999997</v>
      </c>
      <c r="H12" s="157">
        <v>3.4689999999999999</v>
      </c>
      <c r="I12" s="157">
        <v>3.0920000000000001</v>
      </c>
      <c r="J12" s="157">
        <v>2.4060000000000001</v>
      </c>
      <c r="K12" s="157">
        <v>1.742</v>
      </c>
      <c r="L12" s="157">
        <v>1.488</v>
      </c>
      <c r="M12" s="157">
        <v>1.716</v>
      </c>
      <c r="N12" s="157">
        <v>1.6439999999999999</v>
      </c>
      <c r="O12" s="50">
        <f t="shared" si="2"/>
        <v>28.904999999999998</v>
      </c>
      <c r="P12" s="51" t="s">
        <v>288</v>
      </c>
      <c r="Q12" s="75" t="s">
        <v>338</v>
      </c>
    </row>
    <row r="13" spans="1:21">
      <c r="A13" s="48" t="s">
        <v>326</v>
      </c>
      <c r="B13" s="48" t="s">
        <v>345</v>
      </c>
      <c r="C13" s="93"/>
      <c r="D13" s="93">
        <f t="shared" ref="D13:F14" si="4">D9*0.95</f>
        <v>1.1399999999999999</v>
      </c>
      <c r="E13" s="93">
        <f t="shared" si="4"/>
        <v>1.1399999999999999</v>
      </c>
      <c r="F13" s="93">
        <f t="shared" si="4"/>
        <v>4.2749999999999995</v>
      </c>
      <c r="G13" s="93">
        <f>G9*0.8-0.2</f>
        <v>10.600000000000001</v>
      </c>
      <c r="H13" s="93">
        <f>H9*0.8-0.4</f>
        <v>12.8</v>
      </c>
      <c r="I13" s="93">
        <f>I9*0.8-0.6</f>
        <v>9.0000000000000018</v>
      </c>
      <c r="J13" s="93">
        <f>J9*0.8-0.8</f>
        <v>6.0000000000000009</v>
      </c>
      <c r="K13" s="93">
        <f>K9*0.8-0.5</f>
        <v>5.9</v>
      </c>
      <c r="L13" s="93">
        <f t="shared" ref="L13:L14" si="5">L9*0.8</f>
        <v>5.2</v>
      </c>
      <c r="M13" s="93">
        <f t="shared" ref="M13:N14" si="6">M9*0.95</f>
        <v>1.9</v>
      </c>
      <c r="N13" s="93">
        <f t="shared" si="6"/>
        <v>1.9</v>
      </c>
      <c r="O13" s="50">
        <f t="shared" ref="O13:O14" si="7">SUM(C13:N13)</f>
        <v>59.855000000000004</v>
      </c>
      <c r="P13" s="51" t="s">
        <v>287</v>
      </c>
      <c r="Q13" s="75" t="s">
        <v>264</v>
      </c>
    </row>
    <row r="14" spans="1:21">
      <c r="A14" s="48" t="s">
        <v>335</v>
      </c>
      <c r="B14" s="48" t="s">
        <v>345</v>
      </c>
      <c r="C14" s="93">
        <f>C10*0.9</f>
        <v>0.54</v>
      </c>
      <c r="D14" s="93">
        <f t="shared" si="4"/>
        <v>0.82269999999999999</v>
      </c>
      <c r="E14" s="93">
        <f t="shared" si="4"/>
        <v>0.82650000000000001</v>
      </c>
      <c r="F14" s="93">
        <f t="shared" si="4"/>
        <v>4.0479500000000002</v>
      </c>
      <c r="G14" s="93">
        <f>G10*0.8-0.2</f>
        <v>4.7</v>
      </c>
      <c r="H14" s="93">
        <f>H10*0.8-0.4</f>
        <v>7.0944000000000003</v>
      </c>
      <c r="I14" s="93">
        <f>I10*0.8-0.6</f>
        <v>3.9872000000000001</v>
      </c>
      <c r="J14" s="93">
        <f>J10*0.8-1</f>
        <v>0.59840000000000004</v>
      </c>
      <c r="K14" s="93">
        <f>K10*0.8-0.5</f>
        <v>1.9207999999999998</v>
      </c>
      <c r="L14" s="93">
        <f t="shared" si="5"/>
        <v>3.7744</v>
      </c>
      <c r="M14" s="93">
        <f t="shared" si="6"/>
        <v>0.93764999999999998</v>
      </c>
      <c r="N14" s="93">
        <f t="shared" si="6"/>
        <v>0.70394999999999996</v>
      </c>
      <c r="O14" s="50">
        <f t="shared" si="7"/>
        <v>29.953950000000003</v>
      </c>
      <c r="P14" s="51" t="s">
        <v>287</v>
      </c>
      <c r="Q14" s="75" t="s">
        <v>264</v>
      </c>
    </row>
    <row r="15" spans="1:21">
      <c r="A15" s="48"/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50"/>
      <c r="P15" s="51"/>
    </row>
    <row r="16" spans="1:21">
      <c r="A16" t="s">
        <v>334</v>
      </c>
      <c r="B16" s="48"/>
      <c r="C16" s="49">
        <f>('Zahlen MontanAqua'!Q28)/1000000</f>
        <v>0.38257920000000001</v>
      </c>
      <c r="D16" s="49">
        <f>C16</f>
        <v>0.38257920000000001</v>
      </c>
      <c r="E16" s="49">
        <f>C16</f>
        <v>0.38257920000000001</v>
      </c>
      <c r="F16" s="49">
        <f>C16</f>
        <v>0.38257920000000001</v>
      </c>
      <c r="G16" s="49">
        <f>C16</f>
        <v>0.38257920000000001</v>
      </c>
      <c r="H16" s="49">
        <f>C16</f>
        <v>0.38257920000000001</v>
      </c>
      <c r="I16" s="49">
        <f>C16</f>
        <v>0.38257920000000001</v>
      </c>
      <c r="J16" s="49">
        <f>C16</f>
        <v>0.38257920000000001</v>
      </c>
      <c r="K16" s="49">
        <f>C16</f>
        <v>0.38257920000000001</v>
      </c>
      <c r="L16" s="49">
        <f>C16</f>
        <v>0.38257920000000001</v>
      </c>
      <c r="M16" s="49">
        <f>C16</f>
        <v>0.38257920000000001</v>
      </c>
      <c r="N16" s="49">
        <f>C16</f>
        <v>0.38257920000000001</v>
      </c>
      <c r="O16" s="50">
        <f>SUM(C16:N16)</f>
        <v>4.5909503999999997</v>
      </c>
      <c r="P16" s="51"/>
    </row>
    <row r="17" spans="1:18">
      <c r="A17" s="48" t="s">
        <v>336</v>
      </c>
      <c r="B17" s="48"/>
      <c r="C17" s="49">
        <f>2*C16</f>
        <v>0.76515840000000002</v>
      </c>
      <c r="D17" s="49">
        <f t="shared" ref="D17:N17" si="8">2*D16</f>
        <v>0.76515840000000002</v>
      </c>
      <c r="E17" s="49">
        <f t="shared" si="8"/>
        <v>0.76515840000000002</v>
      </c>
      <c r="F17" s="49">
        <f t="shared" si="8"/>
        <v>0.76515840000000002</v>
      </c>
      <c r="G17" s="49">
        <f t="shared" si="8"/>
        <v>0.76515840000000002</v>
      </c>
      <c r="H17" s="49">
        <f t="shared" si="8"/>
        <v>0.76515840000000002</v>
      </c>
      <c r="I17" s="49">
        <f t="shared" si="8"/>
        <v>0.76515840000000002</v>
      </c>
      <c r="J17" s="49">
        <f t="shared" si="8"/>
        <v>0.76515840000000002</v>
      </c>
      <c r="K17" s="49">
        <f t="shared" si="8"/>
        <v>0.76515840000000002</v>
      </c>
      <c r="L17" s="49">
        <f t="shared" si="8"/>
        <v>0.76515840000000002</v>
      </c>
      <c r="M17" s="49">
        <f t="shared" si="8"/>
        <v>0.76515840000000002</v>
      </c>
      <c r="N17" s="49">
        <f t="shared" si="8"/>
        <v>0.76515840000000002</v>
      </c>
      <c r="O17" s="50">
        <f>SUM(C17:N17)</f>
        <v>9.1819007999999993</v>
      </c>
      <c r="P17" s="51"/>
      <c r="R17" s="86"/>
    </row>
    <row r="18" spans="1:18">
      <c r="A18" s="48"/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0"/>
      <c r="P18" s="51"/>
      <c r="R18" s="86"/>
    </row>
    <row r="19" spans="1:18" s="47" customFormat="1">
      <c r="A19" s="153" t="s">
        <v>66</v>
      </c>
      <c r="B19" s="153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53"/>
      <c r="P19" s="46"/>
      <c r="Q19" s="131"/>
      <c r="R19" s="86"/>
    </row>
    <row r="20" spans="1:18" s="47" customFormat="1">
      <c r="A20" s="153" t="s">
        <v>329</v>
      </c>
      <c r="B20" s="153"/>
      <c r="C20" s="153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53"/>
      <c r="P20" s="46"/>
      <c r="Q20" s="131"/>
      <c r="R20" s="86"/>
    </row>
    <row r="21" spans="1:18" s="47" customFormat="1">
      <c r="A21" s="150" t="s">
        <v>68</v>
      </c>
      <c r="B21" s="150" t="s">
        <v>127</v>
      </c>
      <c r="C21" s="155">
        <f>((B93*C93*31)+(C101*1000*0.15))/1000000</f>
        <v>0.68164000000000013</v>
      </c>
      <c r="D21" s="155">
        <f>((B93*C93*28)+(D101*1000*0.15))/1000000</f>
        <v>0.62707000000000013</v>
      </c>
      <c r="E21" s="155">
        <f>(((B93*C93*31)+(E101*1000*0.15))/1000000)*2</f>
        <v>1.3452800000000003</v>
      </c>
      <c r="F21" s="155">
        <f>(((B93*C93*30)+(F101*1000*0.15))/1000000)</f>
        <v>0.62895000000000012</v>
      </c>
      <c r="G21" s="155">
        <f>((B93*C93*31)+(G101*1000*0.15))/1000000</f>
        <v>0.64039000000000013</v>
      </c>
      <c r="H21" s="155">
        <f>((B93*E93*30)+(H101*1000*0.15))/1000000</f>
        <v>0.68174999999999997</v>
      </c>
      <c r="I21" s="155">
        <f>((B93*E93*31)+(I101*1000*0.15))/1000000</f>
        <v>0.72840000000000005</v>
      </c>
      <c r="J21" s="155">
        <f>((B93*E93*31)+(J101*1000*0.15))/1000000</f>
        <v>0.72689999999999999</v>
      </c>
      <c r="K21" s="155">
        <f>((B93*E93*30)+(K101*1000*0.15))/1000000</f>
        <v>0.68625000000000003</v>
      </c>
      <c r="L21" s="155">
        <f>((B93*C93*31)+(L101*1000*0.15))/1000000</f>
        <v>0.64339000000000013</v>
      </c>
      <c r="M21" s="155">
        <f>((B93*E93*30)+(M101*1000*0.15))/1000000</f>
        <v>0.66149999999999998</v>
      </c>
      <c r="N21" s="155">
        <f>((B93*E93*31)+(N101*1000*0.15))/1000000</f>
        <v>0.71340000000000003</v>
      </c>
      <c r="O21" s="50">
        <f t="shared" ref="O21:O26" si="9">SUM(C21:N21)</f>
        <v>8.76492</v>
      </c>
      <c r="P21" s="46"/>
      <c r="Q21" s="75" t="s">
        <v>263</v>
      </c>
      <c r="R21" s="86"/>
    </row>
    <row r="22" spans="1:18" s="47" customFormat="1">
      <c r="A22" s="150" t="s">
        <v>68</v>
      </c>
      <c r="B22" s="150" t="s">
        <v>183</v>
      </c>
      <c r="C22" s="155">
        <f>((B94*C94*31)+(C101*1000*0.15))/1000000</f>
        <v>0.68164000000000013</v>
      </c>
      <c r="D22" s="155">
        <f>((B94*C94*28)+(D101*1000*0.15))/1000000</f>
        <v>0.62707000000000013</v>
      </c>
      <c r="E22" s="155">
        <f>((B94*C94*31)+(E101*1000*0.15))/1000000</f>
        <v>0.67264000000000013</v>
      </c>
      <c r="F22" s="155">
        <f>((B94*C94*30)+(F101*1000*0.15))/1000000</f>
        <v>0.62895000000000012</v>
      </c>
      <c r="G22" s="155">
        <f>((B94*C94*31)+(G101*1000*0.15))/1000000</f>
        <v>0.64039000000000013</v>
      </c>
      <c r="H22" s="155">
        <f>((B94*E94*30)+(H101*1000*0.15))/1000000</f>
        <v>0.74744999999999995</v>
      </c>
      <c r="I22" s="155">
        <f>((B94*E94*31)+(I101*1000*0.15))/1000000</f>
        <v>0.79629000000000005</v>
      </c>
      <c r="J22" s="155">
        <f>((B94*E94*31)+(J101*1000*0.15))/1000000</f>
        <v>0.79479</v>
      </c>
      <c r="K22" s="155">
        <f>((B94*E94*30)+(K101*1000*0.15))/1000000</f>
        <v>0.75195000000000001</v>
      </c>
      <c r="L22" s="155">
        <f>((B94*C94*31)+(L101*1000*0.15))/1000000</f>
        <v>0.64339000000000013</v>
      </c>
      <c r="M22" s="155">
        <f>((B94*E94*30)+(M101*1000*0.15))/1000000</f>
        <v>0.72719999999999996</v>
      </c>
      <c r="N22" s="155">
        <f>((B94*E94*31)+(N101*1000*0.15))/1000000</f>
        <v>0.78129000000000004</v>
      </c>
      <c r="O22" s="50">
        <f t="shared" si="9"/>
        <v>8.4930500000000002</v>
      </c>
      <c r="P22" s="46"/>
      <c r="Q22" s="75" t="s">
        <v>190</v>
      </c>
      <c r="R22" s="86"/>
    </row>
    <row r="23" spans="1:18" s="47" customFormat="1">
      <c r="A23" s="150" t="s">
        <v>68</v>
      </c>
      <c r="B23" s="150" t="s">
        <v>73</v>
      </c>
      <c r="C23" s="155">
        <f>((B95*C95*31)+(C101*1000*0.15))/1000000</f>
        <v>0.83054539999999999</v>
      </c>
      <c r="D23" s="155">
        <f>((B95*C95*28)+(D101*1000*0.15))/1000000</f>
        <v>0.76156520000000005</v>
      </c>
      <c r="E23" s="155">
        <f>((B95*C95*31)+(E101*1000*0.15))/1000000</f>
        <v>0.82154539999999998</v>
      </c>
      <c r="F23" s="155">
        <f>((B95*C95*30)+(F101*1000*0.15))/1000000</f>
        <v>0.77305199999999996</v>
      </c>
      <c r="G23" s="155">
        <f>((B95*C95*31)+(G101*1000*0.15))/1000000</f>
        <v>0.78929539999999998</v>
      </c>
      <c r="H23" s="155">
        <f>((B95*E95*30)+(H101*1000*0.15))/1000000</f>
        <v>0.84030600000000011</v>
      </c>
      <c r="I23" s="155">
        <f>((B95*E95*31)+(I101*1000*0.15))/1000000</f>
        <v>0.89224120000000018</v>
      </c>
      <c r="J23" s="155">
        <f>((B95*E95*31)+(J101*1000*0.15))/1000000</f>
        <v>0.89074120000000023</v>
      </c>
      <c r="K23" s="155">
        <f>((B95*E95*30)+(K101*1000*0.15))/1000000</f>
        <v>0.84480600000000017</v>
      </c>
      <c r="L23" s="155">
        <f>((B95*C95*31)+(L101*1000*0.15))/1000000</f>
        <v>0.79229539999999998</v>
      </c>
      <c r="M23" s="155">
        <f>((B95*E95*30)+(M101*1000*0.15))/1000000</f>
        <v>0.82005600000000012</v>
      </c>
      <c r="N23" s="155">
        <f>((B95*E95*31)+(N101*1000*0.15))/1000000</f>
        <v>0.87724120000000017</v>
      </c>
      <c r="O23" s="50">
        <f t="shared" si="9"/>
        <v>9.9336903999999997</v>
      </c>
      <c r="P23" s="46"/>
      <c r="Q23" s="131"/>
      <c r="R23" s="86"/>
    </row>
    <row r="24" spans="1:18" s="47" customFormat="1">
      <c r="A24" s="150" t="s">
        <v>68</v>
      </c>
      <c r="B24" s="150" t="s">
        <v>278</v>
      </c>
      <c r="C24" s="155">
        <f>((B96*C96*31)+(C101*1000*0.15))/1000000</f>
        <v>0.83054539999999999</v>
      </c>
      <c r="D24" s="155">
        <f>((B96*C96*28)+(D101*1000*0.15))/1000000</f>
        <v>0.76156520000000005</v>
      </c>
      <c r="E24" s="155">
        <f>((B96*C96*31)+(E101*1000*0.15))/1000000</f>
        <v>0.82154539999999998</v>
      </c>
      <c r="F24" s="155">
        <f>((B96*C96*30)+(F101*1000*0.15))/1000000</f>
        <v>0.77305199999999996</v>
      </c>
      <c r="G24" s="155">
        <f>((B96*C96*31)+(G101*1000*0.15))/1000000</f>
        <v>0.78929539999999998</v>
      </c>
      <c r="H24" s="155">
        <f>((B96*E96*30)+(H101*1000*0.15))/1000000</f>
        <v>0.92768700000000004</v>
      </c>
      <c r="I24" s="155">
        <f>((B96*E96*31)+(I101*1000*0.15))/1000000</f>
        <v>0.98253489999999999</v>
      </c>
      <c r="J24" s="155">
        <f>((B96*E96*31)+(J101*1000*0.15))/1000000</f>
        <v>0.98103490000000004</v>
      </c>
      <c r="K24" s="155">
        <f>((B96*E96*30)+(K101*1000*0.15))/1000000</f>
        <v>0.93218699999999999</v>
      </c>
      <c r="L24" s="155">
        <f>((B96*C96*31)+(L101*1000*0.15))/1000000</f>
        <v>0.79229539999999998</v>
      </c>
      <c r="M24" s="155">
        <f>((B96*E96*30)+(M101*1000*0.15))/1000000</f>
        <v>0.90743700000000005</v>
      </c>
      <c r="N24" s="155">
        <f>((B96*E96*31)+(N101*1000*0.15))/1000000</f>
        <v>0.96753489999999998</v>
      </c>
      <c r="O24" s="50">
        <f t="shared" si="9"/>
        <v>10.4667145</v>
      </c>
      <c r="P24" s="46"/>
      <c r="Q24" s="131"/>
      <c r="R24" s="86"/>
    </row>
    <row r="25" spans="1:18" s="47" customFormat="1">
      <c r="A25" s="150" t="s">
        <v>68</v>
      </c>
      <c r="B25" s="150" t="s">
        <v>344</v>
      </c>
      <c r="C25" s="155">
        <f>((B97*C97*31)+(C101*1000*0.15))/1000000</f>
        <v>0.96869476100000018</v>
      </c>
      <c r="D25" s="155">
        <f>((B97*C97*28)+(D101*1000*0.15))/1000000</f>
        <v>0.88634526800000013</v>
      </c>
      <c r="E25" s="155">
        <f>((B97*C97*31)+(E101*1000*0.15))/1000000</f>
        <v>0.95969476100000017</v>
      </c>
      <c r="F25" s="155">
        <f>((B97*C97*30)+(F101*1000*0.15))/1000000</f>
        <v>0.90674493000000012</v>
      </c>
      <c r="G25" s="155">
        <f>((B97*C97*31)+(G101*1000*0.15))/1000000</f>
        <v>0.92744476100000017</v>
      </c>
      <c r="H25" s="155">
        <f>((B97*E97*30)+(H101*1000*0.15))/1000000</f>
        <v>0.99322275000000015</v>
      </c>
      <c r="I25" s="155">
        <f>((B97*E97*31)+(I101*1000*0.15))/1000000</f>
        <v>1.050255175</v>
      </c>
      <c r="J25" s="155">
        <f>((B97*E97*31)+(J101*1000*0.15))/1000000</f>
        <v>1.0487551750000002</v>
      </c>
      <c r="K25" s="155">
        <f>((B97*E97*30)+(K101*1000*0.15))/1000000</f>
        <v>0.9977227500000001</v>
      </c>
      <c r="L25" s="155">
        <f>((B97*C97*31)+(L101*1000*0.15))/1000000</f>
        <v>0.93044476100000018</v>
      </c>
      <c r="M25" s="155">
        <f>((B97*E97*30)+(M101*1000*0.15))/1000000</f>
        <v>0.97297275000000016</v>
      </c>
      <c r="N25" s="155">
        <f>((B97*E97*31)+(N101*1000*0.15))/1000000</f>
        <v>1.0352551750000001</v>
      </c>
      <c r="O25" s="50">
        <f t="shared" si="9"/>
        <v>11.677553017000001</v>
      </c>
      <c r="P25" s="46"/>
      <c r="Q25" s="131"/>
      <c r="R25" s="86"/>
    </row>
    <row r="26" spans="1:18" s="47" customFormat="1">
      <c r="A26" s="150" t="s">
        <v>68</v>
      </c>
      <c r="B26" s="150" t="s">
        <v>345</v>
      </c>
      <c r="C26" s="155">
        <f>((B98*C98*31)+(C101*1000*0.15))/1000000</f>
        <v>0.96869476100000018</v>
      </c>
      <c r="D26" s="155">
        <f>((B98*C98*28)+(D101*1000*0.15))/1000000</f>
        <v>0.88634526800000013</v>
      </c>
      <c r="E26" s="155">
        <f>((B98*C98*31)+(E101*1000*0.15))/1000000</f>
        <v>0.95969476100000017</v>
      </c>
      <c r="F26" s="155">
        <f>((B98*C98*30)+(F101*1000*0.15))/1000000</f>
        <v>0.90674493000000012</v>
      </c>
      <c r="G26" s="155">
        <f>((B98*C98*31)+(G101*1000*0.15))/1000000</f>
        <v>0.92744476100000017</v>
      </c>
      <c r="H26" s="155">
        <f>((B98*E98*30)+(H101*1000*0.15))/1000000</f>
        <v>1.1094394800000003</v>
      </c>
      <c r="I26" s="155">
        <f>((B98*E98*31)+(I101*1000*0.15))/1000000</f>
        <v>1.1703457960000001</v>
      </c>
      <c r="J26" s="155">
        <f>((B98*E98*31)+(J101*1000*0.15))/1000000</f>
        <v>1.168845796</v>
      </c>
      <c r="K26" s="155">
        <f>((B98*E98*30)+(K101*1000*0.15))/1000000</f>
        <v>1.1139394800000002</v>
      </c>
      <c r="L26" s="155">
        <f>((B98*C98*31)+(L101*1000*0.15))/1000000</f>
        <v>0.93044476100000018</v>
      </c>
      <c r="M26" s="155">
        <f>((B98*E98*30)+(M101*1000*0.15))/1000000</f>
        <v>1.0891894800000002</v>
      </c>
      <c r="N26" s="155">
        <f>((B98*E98*31)+(N101*1000*0.15))/1000000</f>
        <v>1.155345796</v>
      </c>
      <c r="O26" s="50">
        <f t="shared" si="9"/>
        <v>12.386475070000003</v>
      </c>
      <c r="P26" s="46"/>
      <c r="Q26" s="131"/>
      <c r="R26" s="86"/>
    </row>
    <row r="27" spans="1:18" s="47" customFormat="1">
      <c r="A27" s="48"/>
      <c r="B27" s="48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0"/>
      <c r="P27" s="46"/>
      <c r="Q27" s="131"/>
      <c r="R27" s="86"/>
    </row>
    <row r="28" spans="1:18" s="47" customFormat="1">
      <c r="A28" s="153" t="s">
        <v>347</v>
      </c>
      <c r="B28" s="150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50"/>
      <c r="P28" s="46"/>
      <c r="Q28" s="131"/>
      <c r="R28" s="86"/>
    </row>
    <row r="29" spans="1:18" s="47" customFormat="1">
      <c r="A29" s="150" t="s">
        <v>68</v>
      </c>
      <c r="B29" s="150" t="s">
        <v>127</v>
      </c>
      <c r="C29" s="155">
        <f>C21*0.15</f>
        <v>0.10224600000000002</v>
      </c>
      <c r="D29" s="155">
        <f>D21*0.15</f>
        <v>9.4060500000000019E-2</v>
      </c>
      <c r="E29" s="155"/>
      <c r="F29" s="155"/>
      <c r="G29" s="155"/>
      <c r="H29" s="155"/>
      <c r="I29" s="155"/>
      <c r="J29" s="155">
        <f>J21*0.15</f>
        <v>0.10903499999999999</v>
      </c>
      <c r="K29" s="155">
        <f>K21*0.15</f>
        <v>0.1029375</v>
      </c>
      <c r="L29" s="155"/>
      <c r="M29" s="155"/>
      <c r="N29" s="155">
        <f>N21*0.075</f>
        <v>5.3505000000000004E-2</v>
      </c>
      <c r="O29" s="50">
        <f t="shared" ref="O29:O34" si="10">SUM(C29:N29)</f>
        <v>0.46178400000000008</v>
      </c>
      <c r="P29" s="46"/>
      <c r="Q29" s="131"/>
      <c r="R29" s="86"/>
    </row>
    <row r="30" spans="1:18" s="47" customFormat="1">
      <c r="A30" s="150" t="s">
        <v>68</v>
      </c>
      <c r="B30" s="150" t="s">
        <v>183</v>
      </c>
      <c r="C30" s="155">
        <f>C22*0.3</f>
        <v>0.20449200000000003</v>
      </c>
      <c r="D30" s="155">
        <f>D22*0.3</f>
        <v>0.18812100000000004</v>
      </c>
      <c r="E30" s="155"/>
      <c r="F30" s="155"/>
      <c r="G30" s="155"/>
      <c r="H30" s="155"/>
      <c r="I30" s="155"/>
      <c r="J30" s="155">
        <f>J22*0.3</f>
        <v>0.23843699999999998</v>
      </c>
      <c r="K30" s="155">
        <f>K22*0.3</f>
        <v>0.22558499999999998</v>
      </c>
      <c r="L30" s="155"/>
      <c r="M30" s="155"/>
      <c r="N30" s="155">
        <f>N22*0.15</f>
        <v>0.11719350000000001</v>
      </c>
      <c r="O30" s="50">
        <f t="shared" si="10"/>
        <v>0.97382849999999999</v>
      </c>
      <c r="P30" s="46"/>
      <c r="Q30" s="131"/>
      <c r="R30" s="86"/>
    </row>
    <row r="31" spans="1:18" s="47" customFormat="1">
      <c r="A31" s="150" t="s">
        <v>68</v>
      </c>
      <c r="B31" s="150" t="s">
        <v>73</v>
      </c>
      <c r="C31" s="155">
        <f>C23*0.15</f>
        <v>0.12458180999999999</v>
      </c>
      <c r="D31" s="155">
        <f>D23*0.15</f>
        <v>0.11423478000000001</v>
      </c>
      <c r="E31" s="155"/>
      <c r="F31" s="155"/>
      <c r="G31" s="155"/>
      <c r="H31" s="155"/>
      <c r="I31" s="155"/>
      <c r="J31" s="155">
        <f>J23*0.15</f>
        <v>0.13361118000000002</v>
      </c>
      <c r="K31" s="155">
        <f>K23*0.15</f>
        <v>0.12672090000000003</v>
      </c>
      <c r="L31" s="155"/>
      <c r="M31" s="155"/>
      <c r="N31" s="155">
        <f>N23*0.075</f>
        <v>6.5793090000000012E-2</v>
      </c>
      <c r="O31" s="50">
        <f t="shared" si="10"/>
        <v>0.56494176000000007</v>
      </c>
      <c r="P31" s="46"/>
      <c r="Q31" s="131"/>
      <c r="R31" s="86"/>
    </row>
    <row r="32" spans="1:18" s="47" customFormat="1">
      <c r="A32" s="150" t="s">
        <v>68</v>
      </c>
      <c r="B32" s="150" t="s">
        <v>278</v>
      </c>
      <c r="C32" s="155">
        <f>C24*0.35</f>
        <v>0.29069088999999998</v>
      </c>
      <c r="D32" s="155">
        <f>D24*0.35</f>
        <v>0.26654781999999999</v>
      </c>
      <c r="E32" s="155"/>
      <c r="F32" s="155"/>
      <c r="G32" s="155"/>
      <c r="H32" s="155"/>
      <c r="I32" s="155"/>
      <c r="J32" s="155">
        <f>J24*0.35</f>
        <v>0.34336221499999997</v>
      </c>
      <c r="K32" s="155">
        <f>K24*0.35</f>
        <v>0.32626544999999996</v>
      </c>
      <c r="L32" s="155"/>
      <c r="M32" s="155"/>
      <c r="N32" s="155">
        <f>N24*0.175</f>
        <v>0.1693186075</v>
      </c>
      <c r="O32" s="50">
        <f t="shared" si="10"/>
        <v>1.3961849824999999</v>
      </c>
      <c r="P32" s="46"/>
      <c r="Q32" s="131"/>
      <c r="R32" s="86"/>
    </row>
    <row r="33" spans="1:18" s="47" customFormat="1">
      <c r="A33" s="150" t="s">
        <v>68</v>
      </c>
      <c r="B33" s="150" t="s">
        <v>344</v>
      </c>
      <c r="C33" s="155">
        <f>C25*0.15</f>
        <v>0.14530421415000003</v>
      </c>
      <c r="D33" s="155">
        <f>D25*0.15</f>
        <v>0.1329517902</v>
      </c>
      <c r="E33" s="155"/>
      <c r="F33" s="155"/>
      <c r="G33" s="155"/>
      <c r="H33" s="155"/>
      <c r="I33" s="155"/>
      <c r="J33" s="155">
        <f>J25*0.15</f>
        <v>0.15731327625000002</v>
      </c>
      <c r="K33" s="155">
        <f>K25*0.15</f>
        <v>0.1496584125</v>
      </c>
      <c r="L33" s="155"/>
      <c r="M33" s="155"/>
      <c r="N33" s="155">
        <f>N25*0.075</f>
        <v>7.7644138124999998E-2</v>
      </c>
      <c r="O33" s="50">
        <f t="shared" si="10"/>
        <v>0.66287183122500004</v>
      </c>
      <c r="P33" s="46"/>
      <c r="Q33" s="131"/>
      <c r="R33" s="86"/>
    </row>
    <row r="34" spans="1:18" s="47" customFormat="1">
      <c r="A34" s="150" t="s">
        <v>68</v>
      </c>
      <c r="B34" s="150" t="s">
        <v>345</v>
      </c>
      <c r="C34" s="155">
        <f>C26*0.4</f>
        <v>0.38747790440000007</v>
      </c>
      <c r="D34" s="155">
        <f>D26*0.4</f>
        <v>0.35453810720000006</v>
      </c>
      <c r="E34" s="155"/>
      <c r="F34" s="155"/>
      <c r="G34" s="155"/>
      <c r="H34" s="155"/>
      <c r="I34" s="155"/>
      <c r="J34" s="155">
        <f>J26*0.4</f>
        <v>0.46753831840000004</v>
      </c>
      <c r="K34" s="155">
        <f>K26*0.4</f>
        <v>0.44557579200000008</v>
      </c>
      <c r="L34" s="155"/>
      <c r="M34" s="155"/>
      <c r="N34" s="155">
        <f>N26*0.2</f>
        <v>0.23106915920000001</v>
      </c>
      <c r="O34" s="50">
        <f t="shared" si="10"/>
        <v>1.8861992812000001</v>
      </c>
      <c r="P34" s="46"/>
      <c r="Q34" s="131"/>
      <c r="R34" s="86"/>
    </row>
    <row r="35" spans="1:18" s="47" customFormat="1">
      <c r="A35" s="48"/>
      <c r="B35" s="48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3"/>
      <c r="P35" s="46"/>
      <c r="Q35" s="131"/>
      <c r="R35" s="86"/>
    </row>
    <row r="36" spans="1:18" s="47" customFormat="1">
      <c r="A36" s="153" t="s">
        <v>69</v>
      </c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53"/>
      <c r="P36" s="46"/>
      <c r="Q36" s="131"/>
    </row>
    <row r="37" spans="1:18">
      <c r="A37" s="150" t="s">
        <v>68</v>
      </c>
      <c r="B37" s="150" t="s">
        <v>127</v>
      </c>
      <c r="C37" s="156">
        <v>0</v>
      </c>
      <c r="D37" s="156">
        <v>0</v>
      </c>
      <c r="E37" s="156">
        <v>0</v>
      </c>
      <c r="F37" s="156">
        <v>0.14000000000000001</v>
      </c>
      <c r="G37" s="156">
        <v>0.19</v>
      </c>
      <c r="H37" s="156">
        <v>0.31</v>
      </c>
      <c r="I37" s="156">
        <v>0.56000000000000005</v>
      </c>
      <c r="J37" s="156">
        <v>0.6</v>
      </c>
      <c r="K37" s="156">
        <v>0.46</v>
      </c>
      <c r="L37" s="156">
        <v>0.2</v>
      </c>
      <c r="M37" s="156">
        <v>0</v>
      </c>
      <c r="N37" s="156">
        <v>0</v>
      </c>
      <c r="O37" s="50">
        <f>SUM(C37:N37)</f>
        <v>2.4600000000000004</v>
      </c>
      <c r="P37" s="51"/>
      <c r="Q37" s="75" t="s">
        <v>126</v>
      </c>
    </row>
    <row r="38" spans="1:18">
      <c r="A38" s="150" t="s">
        <v>68</v>
      </c>
      <c r="B38" s="150" t="s">
        <v>183</v>
      </c>
      <c r="C38" s="156">
        <v>0</v>
      </c>
      <c r="D38" s="156">
        <v>0</v>
      </c>
      <c r="E38" s="156">
        <v>0.1</v>
      </c>
      <c r="F38" s="156">
        <f>0.395+0.1</f>
        <v>0.495</v>
      </c>
      <c r="G38" s="156">
        <f>0.314+0.1</f>
        <v>0.41400000000000003</v>
      </c>
      <c r="H38" s="156">
        <f>0.81+0.1</f>
        <v>0.91</v>
      </c>
      <c r="I38" s="156">
        <f>1.587+0.1</f>
        <v>1.6870000000000001</v>
      </c>
      <c r="J38" s="156">
        <f>1.681+0.1</f>
        <v>1.7810000000000001</v>
      </c>
      <c r="K38" s="156">
        <f>1.283+0.1</f>
        <v>1.383</v>
      </c>
      <c r="L38" s="156">
        <v>0.6</v>
      </c>
      <c r="M38" s="156">
        <v>0</v>
      </c>
      <c r="N38" s="156">
        <v>0</v>
      </c>
      <c r="O38" s="50">
        <f>SUM(C38:N38)</f>
        <v>7.37</v>
      </c>
      <c r="P38" s="55"/>
      <c r="Q38" s="75" t="s">
        <v>125</v>
      </c>
    </row>
    <row r="39" spans="1:18">
      <c r="A39" s="150" t="s">
        <v>68</v>
      </c>
      <c r="B39" s="150" t="s">
        <v>73</v>
      </c>
      <c r="C39" s="157">
        <f>C37*(1+P39)</f>
        <v>0</v>
      </c>
      <c r="D39" s="157">
        <f>D37*(1+P39)</f>
        <v>0</v>
      </c>
      <c r="E39" s="157">
        <f>E37*(1+P39)</f>
        <v>0</v>
      </c>
      <c r="F39" s="157">
        <f>F37*(1+P39)</f>
        <v>0.1855</v>
      </c>
      <c r="G39" s="157">
        <f>G37*(1+P39)</f>
        <v>0.25174999999999997</v>
      </c>
      <c r="H39" s="157">
        <f>H37*(1+P39)</f>
        <v>0.41075</v>
      </c>
      <c r="I39" s="157">
        <f>I37*(1+P39)</f>
        <v>0.74199999999999999</v>
      </c>
      <c r="J39" s="157">
        <f>J37*(1+P39)</f>
        <v>0.79499999999999993</v>
      </c>
      <c r="K39" s="157">
        <f>K37*(1+P39)</f>
        <v>0.60950000000000004</v>
      </c>
      <c r="L39" s="157">
        <f>L37*(1+P39)</f>
        <v>0.26500000000000001</v>
      </c>
      <c r="M39" s="157">
        <f>M37*(1+P39)</f>
        <v>0</v>
      </c>
      <c r="N39" s="157">
        <f>N37*(1+P39)</f>
        <v>0</v>
      </c>
      <c r="O39" s="50">
        <f t="shared" ref="O39:O42" si="11">SUM(C39:N39)</f>
        <v>3.2595000000000001</v>
      </c>
      <c r="P39" s="104">
        <v>0.32500000000000001</v>
      </c>
      <c r="Q39" s="75" t="s">
        <v>188</v>
      </c>
    </row>
    <row r="40" spans="1:18">
      <c r="A40" s="150" t="s">
        <v>68</v>
      </c>
      <c r="B40" s="150" t="s">
        <v>278</v>
      </c>
      <c r="C40" s="157">
        <f>C38*(1+P40)</f>
        <v>0</v>
      </c>
      <c r="D40" s="157">
        <f>D38*(1+P40)</f>
        <v>0</v>
      </c>
      <c r="E40" s="157">
        <f>E38*(1+P40)</f>
        <v>0.13250000000000001</v>
      </c>
      <c r="F40" s="157">
        <f>F38*(1+P40)</f>
        <v>0.65587499999999999</v>
      </c>
      <c r="G40" s="157">
        <f>G38*(1+P40)</f>
        <v>0.54854999999999998</v>
      </c>
      <c r="H40" s="157">
        <f>H38*(1+P40)</f>
        <v>1.2057500000000001</v>
      </c>
      <c r="I40" s="157">
        <f>I38*(1+P40)</f>
        <v>2.2352750000000001</v>
      </c>
      <c r="J40" s="157">
        <f>J38*(1+P40)</f>
        <v>2.3598250000000003</v>
      </c>
      <c r="K40" s="157">
        <f>K38*(1+P40)</f>
        <v>1.8324749999999999</v>
      </c>
      <c r="L40" s="157">
        <f>L38*(1+P40)</f>
        <v>0.79499999999999993</v>
      </c>
      <c r="M40" s="157">
        <f>M38*(1+P40)</f>
        <v>0</v>
      </c>
      <c r="N40" s="157">
        <f>N38*(1+P40)</f>
        <v>0</v>
      </c>
      <c r="O40" s="50">
        <f t="shared" si="11"/>
        <v>9.7652500000000018</v>
      </c>
      <c r="P40" s="104">
        <v>0.32500000000000001</v>
      </c>
      <c r="Q40" s="75" t="s">
        <v>188</v>
      </c>
    </row>
    <row r="41" spans="1:18">
      <c r="A41" s="150" t="s">
        <v>68</v>
      </c>
      <c r="B41" s="150" t="s">
        <v>344</v>
      </c>
      <c r="C41" s="157">
        <f t="shared" ref="C41:C42" si="12">C39*(1+P41)</f>
        <v>0</v>
      </c>
      <c r="D41" s="157">
        <f t="shared" ref="D41:D42" si="13">D39*(1+P41)</f>
        <v>0</v>
      </c>
      <c r="E41" s="157">
        <f t="shared" ref="E41:E42" si="14">E39*(1+P41)</f>
        <v>0</v>
      </c>
      <c r="F41" s="157">
        <f t="shared" ref="F41:F42" si="15">F39*(1+P41)</f>
        <v>0.27825</v>
      </c>
      <c r="G41" s="157">
        <f t="shared" ref="G41:G42" si="16">G39*(1+P41)</f>
        <v>0.37762499999999999</v>
      </c>
      <c r="H41" s="157">
        <f t="shared" ref="H41:H42" si="17">H39*(1+P41)</f>
        <v>0.61612500000000003</v>
      </c>
      <c r="I41" s="157">
        <f t="shared" ref="I41:I42" si="18">I39*(1+P41)</f>
        <v>1.113</v>
      </c>
      <c r="J41" s="157">
        <f t="shared" ref="J41:J42" si="19">J39*(1+P41)</f>
        <v>1.1924999999999999</v>
      </c>
      <c r="K41" s="157">
        <f t="shared" ref="K41:K42" si="20">K39*(1+P41)</f>
        <v>0.91425000000000001</v>
      </c>
      <c r="L41" s="157">
        <f t="shared" ref="L41:L42" si="21">L39*(1+P41)</f>
        <v>0.39750000000000002</v>
      </c>
      <c r="M41" s="157">
        <f t="shared" ref="M41:M42" si="22">M39*(1+P41)</f>
        <v>0</v>
      </c>
      <c r="N41" s="157">
        <f t="shared" ref="N41:N42" si="23">N39*(1+P41)</f>
        <v>0</v>
      </c>
      <c r="O41" s="50">
        <f t="shared" si="11"/>
        <v>4.8892499999999997</v>
      </c>
      <c r="P41" s="104">
        <v>0.5</v>
      </c>
    </row>
    <row r="42" spans="1:18">
      <c r="A42" s="150" t="s">
        <v>68</v>
      </c>
      <c r="B42" s="150" t="s">
        <v>345</v>
      </c>
      <c r="C42" s="157">
        <f t="shared" si="12"/>
        <v>0</v>
      </c>
      <c r="D42" s="157">
        <f t="shared" si="13"/>
        <v>0</v>
      </c>
      <c r="E42" s="157">
        <f t="shared" si="14"/>
        <v>0.19875000000000001</v>
      </c>
      <c r="F42" s="157">
        <f t="shared" si="15"/>
        <v>0.98381249999999998</v>
      </c>
      <c r="G42" s="157">
        <f t="shared" si="16"/>
        <v>0.82282499999999992</v>
      </c>
      <c r="H42" s="157">
        <f t="shared" si="17"/>
        <v>1.8086250000000001</v>
      </c>
      <c r="I42" s="157">
        <f t="shared" si="18"/>
        <v>3.3529125000000004</v>
      </c>
      <c r="J42" s="157">
        <f t="shared" si="19"/>
        <v>3.5397375000000002</v>
      </c>
      <c r="K42" s="157">
        <f t="shared" si="20"/>
        <v>2.7487124999999999</v>
      </c>
      <c r="L42" s="157">
        <f t="shared" si="21"/>
        <v>1.1924999999999999</v>
      </c>
      <c r="M42" s="157">
        <f t="shared" si="22"/>
        <v>0</v>
      </c>
      <c r="N42" s="157">
        <f t="shared" si="23"/>
        <v>0</v>
      </c>
      <c r="O42" s="50">
        <f t="shared" si="11"/>
        <v>14.647874999999999</v>
      </c>
      <c r="P42" s="104">
        <v>0.5</v>
      </c>
    </row>
    <row r="43" spans="1:18">
      <c r="A43" s="48"/>
      <c r="B43" s="48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50"/>
      <c r="P43" s="104"/>
    </row>
    <row r="44" spans="1:18">
      <c r="A44" s="153" t="s">
        <v>337</v>
      </c>
      <c r="B44" s="150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50"/>
      <c r="P44" s="104"/>
    </row>
    <row r="45" spans="1:18">
      <c r="A45" s="150" t="s">
        <v>68</v>
      </c>
      <c r="B45" s="150" t="s">
        <v>342</v>
      </c>
      <c r="C45" s="157"/>
      <c r="D45" s="157"/>
      <c r="E45" s="157"/>
      <c r="F45" s="157"/>
      <c r="G45" s="157"/>
      <c r="H45" s="157"/>
      <c r="I45" s="157"/>
      <c r="J45" s="155">
        <f>J37*0.8</f>
        <v>0.48</v>
      </c>
      <c r="K45" s="155">
        <f>K37*0.8</f>
        <v>0.36800000000000005</v>
      </c>
      <c r="L45" s="157"/>
      <c r="M45" s="157"/>
      <c r="N45" s="157"/>
      <c r="O45" s="50">
        <f t="shared" ref="O45:O50" si="24">SUM(C45:N45)</f>
        <v>0.84800000000000009</v>
      </c>
      <c r="P45" s="104"/>
    </row>
    <row r="46" spans="1:18">
      <c r="A46" s="150" t="s">
        <v>68</v>
      </c>
      <c r="B46" s="150" t="s">
        <v>183</v>
      </c>
      <c r="C46" s="157"/>
      <c r="D46" s="157"/>
      <c r="E46" s="157"/>
      <c r="F46" s="157"/>
      <c r="G46" s="157"/>
      <c r="H46" s="157"/>
      <c r="I46" s="157"/>
      <c r="J46" s="155">
        <f t="shared" ref="J46:K46" si="25">J38*0.8</f>
        <v>1.4248000000000003</v>
      </c>
      <c r="K46" s="155">
        <f t="shared" si="25"/>
        <v>1.1064000000000001</v>
      </c>
      <c r="L46" s="157"/>
      <c r="M46" s="157"/>
      <c r="N46" s="157"/>
      <c r="O46" s="50">
        <f t="shared" si="24"/>
        <v>2.5312000000000001</v>
      </c>
      <c r="P46" s="104"/>
    </row>
    <row r="47" spans="1:18">
      <c r="A47" s="150" t="s">
        <v>68</v>
      </c>
      <c r="B47" s="150" t="s">
        <v>73</v>
      </c>
      <c r="C47" s="157"/>
      <c r="D47" s="157"/>
      <c r="E47" s="157"/>
      <c r="F47" s="157"/>
      <c r="G47" s="157"/>
      <c r="H47" s="157"/>
      <c r="I47" s="157"/>
      <c r="J47" s="155">
        <f t="shared" ref="J47:K47" si="26">J39*0.8</f>
        <v>0.63600000000000001</v>
      </c>
      <c r="K47" s="155">
        <f t="shared" si="26"/>
        <v>0.48760000000000003</v>
      </c>
      <c r="L47" s="157"/>
      <c r="M47" s="157"/>
      <c r="N47" s="157"/>
      <c r="O47" s="50">
        <f t="shared" si="24"/>
        <v>1.1236000000000002</v>
      </c>
      <c r="P47" s="104"/>
    </row>
    <row r="48" spans="1:18">
      <c r="A48" s="150" t="s">
        <v>68</v>
      </c>
      <c r="B48" s="150" t="s">
        <v>278</v>
      </c>
      <c r="C48" s="157"/>
      <c r="D48" s="157"/>
      <c r="E48" s="157"/>
      <c r="F48" s="157"/>
      <c r="G48" s="157"/>
      <c r="H48" s="157"/>
      <c r="I48" s="157"/>
      <c r="J48" s="155">
        <f t="shared" ref="J48:K48" si="27">J40*0.8</f>
        <v>1.8878600000000003</v>
      </c>
      <c r="K48" s="155">
        <f t="shared" si="27"/>
        <v>1.4659800000000001</v>
      </c>
      <c r="L48" s="157"/>
      <c r="M48" s="157"/>
      <c r="N48" s="157"/>
      <c r="O48" s="50">
        <f t="shared" si="24"/>
        <v>3.3538400000000004</v>
      </c>
      <c r="P48" s="104"/>
    </row>
    <row r="49" spans="1:17">
      <c r="A49" s="150" t="s">
        <v>68</v>
      </c>
      <c r="B49" s="150" t="s">
        <v>344</v>
      </c>
      <c r="C49" s="157"/>
      <c r="D49" s="157"/>
      <c r="E49" s="157"/>
      <c r="F49" s="157"/>
      <c r="G49" s="157"/>
      <c r="H49" s="157"/>
      <c r="I49" s="157"/>
      <c r="J49" s="155">
        <f t="shared" ref="J49:K49" si="28">J41*0.8</f>
        <v>0.95399999999999996</v>
      </c>
      <c r="K49" s="155">
        <f t="shared" si="28"/>
        <v>0.73140000000000005</v>
      </c>
      <c r="L49" s="157"/>
      <c r="M49" s="157"/>
      <c r="N49" s="157"/>
      <c r="O49" s="50">
        <f t="shared" si="24"/>
        <v>1.6854</v>
      </c>
      <c r="P49" s="104"/>
    </row>
    <row r="50" spans="1:17">
      <c r="A50" s="150" t="s">
        <v>68</v>
      </c>
      <c r="B50" s="150" t="s">
        <v>345</v>
      </c>
      <c r="C50" s="157"/>
      <c r="D50" s="157"/>
      <c r="E50" s="157"/>
      <c r="F50" s="157"/>
      <c r="G50" s="157"/>
      <c r="H50" s="157"/>
      <c r="I50" s="157"/>
      <c r="J50" s="155">
        <f t="shared" ref="J50:K50" si="29">J42*0.8</f>
        <v>2.8317900000000003</v>
      </c>
      <c r="K50" s="155">
        <f t="shared" si="29"/>
        <v>2.1989700000000001</v>
      </c>
      <c r="L50" s="157"/>
      <c r="M50" s="157"/>
      <c r="N50" s="157"/>
      <c r="O50" s="50">
        <f t="shared" si="24"/>
        <v>5.0307600000000008</v>
      </c>
      <c r="P50" s="104"/>
    </row>
    <row r="51" spans="1:17">
      <c r="A51" s="48"/>
      <c r="B51" s="48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50"/>
      <c r="P51" s="51"/>
    </row>
    <row r="52" spans="1:17">
      <c r="A52" s="153" t="s">
        <v>346</v>
      </c>
      <c r="B52" s="150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50"/>
      <c r="P52" s="104"/>
    </row>
    <row r="53" spans="1:17">
      <c r="A53" s="150" t="s">
        <v>68</v>
      </c>
      <c r="B53" s="150" t="s">
        <v>342</v>
      </c>
      <c r="C53" s="157"/>
      <c r="D53" s="157"/>
      <c r="E53" s="157"/>
      <c r="F53" s="157"/>
      <c r="G53" s="157"/>
      <c r="H53" s="157"/>
      <c r="I53" s="157"/>
      <c r="J53" s="155"/>
      <c r="K53" s="155"/>
      <c r="L53" s="157"/>
      <c r="M53" s="157">
        <v>0.15</v>
      </c>
      <c r="N53" s="157">
        <v>0.15</v>
      </c>
      <c r="O53" s="50">
        <f t="shared" ref="O53:O58" si="30">SUM(C53:N53)</f>
        <v>0.3</v>
      </c>
      <c r="P53" s="104"/>
    </row>
    <row r="54" spans="1:17">
      <c r="A54" s="150" t="s">
        <v>68</v>
      </c>
      <c r="B54" s="150" t="s">
        <v>183</v>
      </c>
      <c r="C54" s="157"/>
      <c r="D54" s="157"/>
      <c r="E54" s="157"/>
      <c r="F54" s="157"/>
      <c r="G54" s="157"/>
      <c r="H54" s="157"/>
      <c r="I54" s="157"/>
      <c r="J54" s="155"/>
      <c r="K54" s="155"/>
      <c r="L54" s="157"/>
      <c r="M54" s="157">
        <v>0.22</v>
      </c>
      <c r="N54" s="157">
        <v>0.23</v>
      </c>
      <c r="O54" s="50">
        <f t="shared" si="30"/>
        <v>0.45</v>
      </c>
      <c r="P54" s="104"/>
    </row>
    <row r="55" spans="1:17">
      <c r="A55" s="150" t="s">
        <v>68</v>
      </c>
      <c r="B55" s="150" t="s">
        <v>73</v>
      </c>
      <c r="C55" s="157"/>
      <c r="D55" s="157"/>
      <c r="E55" s="157"/>
      <c r="F55" s="157"/>
      <c r="G55" s="157"/>
      <c r="H55" s="157"/>
      <c r="I55" s="157"/>
      <c r="J55" s="155"/>
      <c r="K55" s="155"/>
      <c r="L55" s="157"/>
      <c r="M55" s="157">
        <f>M53*1.6</f>
        <v>0.24</v>
      </c>
      <c r="N55" s="157">
        <f>N53*1.6</f>
        <v>0.24</v>
      </c>
      <c r="O55" s="50">
        <f t="shared" si="30"/>
        <v>0.48</v>
      </c>
      <c r="P55" s="104"/>
    </row>
    <row r="56" spans="1:17">
      <c r="A56" s="150" t="s">
        <v>68</v>
      </c>
      <c r="B56" s="150" t="s">
        <v>278</v>
      </c>
      <c r="C56" s="157"/>
      <c r="D56" s="157"/>
      <c r="E56" s="157"/>
      <c r="F56" s="157"/>
      <c r="G56" s="157"/>
      <c r="H56" s="157"/>
      <c r="I56" s="157"/>
      <c r="J56" s="155"/>
      <c r="K56" s="155"/>
      <c r="L56" s="157"/>
      <c r="M56" s="157">
        <f>M54*1.6</f>
        <v>0.35200000000000004</v>
      </c>
      <c r="N56" s="157">
        <f>N54*1.6</f>
        <v>0.36800000000000005</v>
      </c>
      <c r="O56" s="50">
        <f t="shared" si="30"/>
        <v>0.72000000000000008</v>
      </c>
      <c r="P56" s="104"/>
    </row>
    <row r="57" spans="1:17">
      <c r="A57" s="150" t="s">
        <v>68</v>
      </c>
      <c r="B57" s="150" t="s">
        <v>344</v>
      </c>
      <c r="C57" s="157"/>
      <c r="D57" s="157"/>
      <c r="E57" s="157"/>
      <c r="F57" s="157"/>
      <c r="G57" s="157"/>
      <c r="H57" s="157"/>
      <c r="I57" s="157"/>
      <c r="J57" s="155"/>
      <c r="K57" s="155"/>
      <c r="L57" s="157"/>
      <c r="M57" s="157">
        <f>M53*2</f>
        <v>0.3</v>
      </c>
      <c r="N57" s="157">
        <f>N53*2</f>
        <v>0.3</v>
      </c>
      <c r="O57" s="50">
        <f t="shared" si="30"/>
        <v>0.6</v>
      </c>
      <c r="P57" s="104"/>
    </row>
    <row r="58" spans="1:17">
      <c r="A58" s="150" t="s">
        <v>68</v>
      </c>
      <c r="B58" s="150" t="s">
        <v>345</v>
      </c>
      <c r="C58" s="157"/>
      <c r="D58" s="157"/>
      <c r="E58" s="157"/>
      <c r="F58" s="157"/>
      <c r="G58" s="157"/>
      <c r="H58" s="157"/>
      <c r="I58" s="157"/>
      <c r="J58" s="155"/>
      <c r="K58" s="155"/>
      <c r="L58" s="157"/>
      <c r="M58" s="157">
        <f>M54*2</f>
        <v>0.44</v>
      </c>
      <c r="N58" s="157">
        <f>N54*2</f>
        <v>0.46</v>
      </c>
      <c r="O58" s="50">
        <f t="shared" si="30"/>
        <v>0.9</v>
      </c>
      <c r="P58" s="104"/>
    </row>
    <row r="59" spans="1:17">
      <c r="A59" s="48"/>
      <c r="B59" s="48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50"/>
      <c r="P59" s="51"/>
    </row>
    <row r="60" spans="1:17" s="47" customFormat="1">
      <c r="A60" s="153" t="s">
        <v>330</v>
      </c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53"/>
      <c r="P60" s="46"/>
      <c r="Q60" s="131"/>
    </row>
    <row r="61" spans="1:17" s="47" customFormat="1">
      <c r="A61" s="150" t="s">
        <v>68</v>
      </c>
      <c r="B61" s="150" t="s">
        <v>341</v>
      </c>
      <c r="C61" s="155">
        <v>7.8</v>
      </c>
      <c r="D61" s="155">
        <v>7.7</v>
      </c>
      <c r="E61" s="155">
        <v>4</v>
      </c>
      <c r="F61" s="155">
        <v>0.2</v>
      </c>
      <c r="G61" s="155">
        <v>1.3</v>
      </c>
      <c r="H61" s="155">
        <v>4.7</v>
      </c>
      <c r="I61" s="155">
        <v>7.5</v>
      </c>
      <c r="J61" s="155">
        <v>7.3</v>
      </c>
      <c r="K61" s="155">
        <v>6</v>
      </c>
      <c r="L61" s="155">
        <v>8.3000000000000007</v>
      </c>
      <c r="M61" s="155">
        <v>9.6999999999999993</v>
      </c>
      <c r="N61" s="155">
        <v>9</v>
      </c>
      <c r="O61" s="50">
        <f t="shared" ref="O61" si="31">SUM(C61:N61)</f>
        <v>73.5</v>
      </c>
      <c r="P61" s="46"/>
      <c r="Q61" s="75" t="s">
        <v>343</v>
      </c>
    </row>
    <row r="62" spans="1:17" s="47" customFormat="1">
      <c r="A62" s="150" t="s">
        <v>68</v>
      </c>
      <c r="B62" s="150" t="s">
        <v>183</v>
      </c>
      <c r="C62" s="155">
        <v>11</v>
      </c>
      <c r="D62" s="155">
        <v>10</v>
      </c>
      <c r="E62" s="155">
        <v>2</v>
      </c>
      <c r="F62" s="155">
        <v>0</v>
      </c>
      <c r="G62" s="155">
        <v>0</v>
      </c>
      <c r="H62" s="155">
        <v>2</v>
      </c>
      <c r="I62" s="155">
        <v>1</v>
      </c>
      <c r="J62" s="155">
        <v>3</v>
      </c>
      <c r="K62" s="155">
        <v>2</v>
      </c>
      <c r="L62" s="155">
        <v>7</v>
      </c>
      <c r="M62" s="155">
        <v>12</v>
      </c>
      <c r="N62" s="155">
        <v>11</v>
      </c>
      <c r="O62" s="50">
        <f t="shared" ref="O62:O66" si="32">SUM(C62:N62)</f>
        <v>61</v>
      </c>
      <c r="P62" s="46"/>
      <c r="Q62" s="75" t="s">
        <v>343</v>
      </c>
    </row>
    <row r="63" spans="1:17" s="47" customFormat="1">
      <c r="A63" s="48" t="s">
        <v>68</v>
      </c>
      <c r="B63" s="48" t="s">
        <v>73</v>
      </c>
      <c r="C63" s="54">
        <v>7.8</v>
      </c>
      <c r="D63" s="54">
        <v>7.7</v>
      </c>
      <c r="E63" s="54">
        <v>4</v>
      </c>
      <c r="F63" s="54">
        <v>0.2</v>
      </c>
      <c r="G63" s="54">
        <v>1.3</v>
      </c>
      <c r="H63" s="54">
        <v>4.7</v>
      </c>
      <c r="I63" s="54">
        <v>7.5</v>
      </c>
      <c r="J63" s="54">
        <v>7.3</v>
      </c>
      <c r="K63" s="54">
        <v>6</v>
      </c>
      <c r="L63" s="54">
        <v>8.3000000000000007</v>
      </c>
      <c r="M63" s="54">
        <v>9.6999999999999993</v>
      </c>
      <c r="N63" s="54">
        <v>9</v>
      </c>
      <c r="O63" s="50">
        <f t="shared" si="32"/>
        <v>73.5</v>
      </c>
      <c r="P63" s="46"/>
      <c r="Q63" s="75" t="s">
        <v>331</v>
      </c>
    </row>
    <row r="64" spans="1:17" s="47" customFormat="1">
      <c r="A64" s="48" t="s">
        <v>68</v>
      </c>
      <c r="B64" s="48" t="s">
        <v>278</v>
      </c>
      <c r="C64" s="54">
        <v>11</v>
      </c>
      <c r="D64" s="54">
        <v>10</v>
      </c>
      <c r="E64" s="54">
        <v>2</v>
      </c>
      <c r="F64" s="54">
        <v>0</v>
      </c>
      <c r="G64" s="54">
        <v>0</v>
      </c>
      <c r="H64" s="54">
        <v>2</v>
      </c>
      <c r="I64" s="54">
        <v>1</v>
      </c>
      <c r="J64" s="54">
        <v>3</v>
      </c>
      <c r="K64" s="54">
        <v>2</v>
      </c>
      <c r="L64" s="54">
        <v>7</v>
      </c>
      <c r="M64" s="54">
        <v>12</v>
      </c>
      <c r="N64" s="54">
        <v>11</v>
      </c>
      <c r="O64" s="50">
        <f t="shared" si="32"/>
        <v>61</v>
      </c>
      <c r="P64" s="46"/>
      <c r="Q64" s="75" t="s">
        <v>332</v>
      </c>
    </row>
    <row r="65" spans="1:17" s="47" customFormat="1">
      <c r="A65" s="48" t="s">
        <v>68</v>
      </c>
      <c r="B65" s="48" t="s">
        <v>344</v>
      </c>
      <c r="C65" s="54">
        <v>7.8</v>
      </c>
      <c r="D65" s="54">
        <v>7.7</v>
      </c>
      <c r="E65" s="54">
        <v>4</v>
      </c>
      <c r="F65" s="54">
        <v>0.2</v>
      </c>
      <c r="G65" s="54">
        <v>1.3</v>
      </c>
      <c r="H65" s="54">
        <v>4.7</v>
      </c>
      <c r="I65" s="54">
        <v>7.5</v>
      </c>
      <c r="J65" s="54">
        <v>7.3</v>
      </c>
      <c r="K65" s="54">
        <v>6</v>
      </c>
      <c r="L65" s="54">
        <v>8.3000000000000007</v>
      </c>
      <c r="M65" s="54">
        <v>9.6999999999999993</v>
      </c>
      <c r="N65" s="54">
        <v>9</v>
      </c>
      <c r="O65" s="50">
        <f t="shared" si="32"/>
        <v>73.5</v>
      </c>
      <c r="P65" s="46"/>
      <c r="Q65" s="75" t="s">
        <v>331</v>
      </c>
    </row>
    <row r="66" spans="1:17" s="47" customFormat="1">
      <c r="A66" s="48" t="s">
        <v>68</v>
      </c>
      <c r="B66" s="48" t="s">
        <v>345</v>
      </c>
      <c r="C66" s="54">
        <v>11</v>
      </c>
      <c r="D66" s="54">
        <v>10</v>
      </c>
      <c r="E66" s="54">
        <v>2</v>
      </c>
      <c r="F66" s="54">
        <v>0</v>
      </c>
      <c r="G66" s="54">
        <v>0</v>
      </c>
      <c r="H66" s="54">
        <v>2</v>
      </c>
      <c r="I66" s="54">
        <v>1</v>
      </c>
      <c r="J66" s="54">
        <v>3</v>
      </c>
      <c r="K66" s="54">
        <v>2</v>
      </c>
      <c r="L66" s="54">
        <v>7</v>
      </c>
      <c r="M66" s="54">
        <v>12</v>
      </c>
      <c r="N66" s="54">
        <v>11</v>
      </c>
      <c r="O66" s="50">
        <f t="shared" si="32"/>
        <v>61</v>
      </c>
      <c r="P66" s="46"/>
      <c r="Q66" s="75" t="s">
        <v>332</v>
      </c>
    </row>
    <row r="67" spans="1:17" s="47" customFormat="1">
      <c r="A67" s="48"/>
      <c r="B67" s="48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0"/>
      <c r="P67" s="46"/>
      <c r="Q67" s="131"/>
    </row>
    <row r="68" spans="1:17" s="47" customFormat="1">
      <c r="A68" s="43" t="s">
        <v>340</v>
      </c>
      <c r="B68" s="4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3"/>
      <c r="P68" s="46"/>
      <c r="Q68" s="131"/>
    </row>
    <row r="69" spans="1:17" s="47" customFormat="1">
      <c r="A69" s="150" t="s">
        <v>68</v>
      </c>
      <c r="B69" s="150" t="s">
        <v>341</v>
      </c>
      <c r="C69" s="154">
        <f t="shared" ref="C69:N69" si="33">C16+C29+C45+C53+C61</f>
        <v>8.2848252000000002</v>
      </c>
      <c r="D69" s="154">
        <f t="shared" si="33"/>
        <v>8.1766397000000008</v>
      </c>
      <c r="E69" s="154">
        <f t="shared" si="33"/>
        <v>4.3825792000000003</v>
      </c>
      <c r="F69" s="154">
        <f t="shared" si="33"/>
        <v>0.58257920000000007</v>
      </c>
      <c r="G69" s="154">
        <f t="shared" si="33"/>
        <v>1.6825792000000002</v>
      </c>
      <c r="H69" s="154">
        <f t="shared" si="33"/>
        <v>5.0825792000000005</v>
      </c>
      <c r="I69" s="154">
        <f t="shared" si="33"/>
        <v>7.8825792000000003</v>
      </c>
      <c r="J69" s="154">
        <f t="shared" si="33"/>
        <v>8.2716142000000001</v>
      </c>
      <c r="K69" s="154">
        <f t="shared" si="33"/>
        <v>6.8535167000000001</v>
      </c>
      <c r="L69" s="154">
        <f t="shared" si="33"/>
        <v>8.6825792000000011</v>
      </c>
      <c r="M69" s="154">
        <f t="shared" si="33"/>
        <v>10.2325792</v>
      </c>
      <c r="N69" s="154">
        <f t="shared" si="33"/>
        <v>9.5860842000000002</v>
      </c>
      <c r="O69" s="53">
        <f t="shared" ref="O69:O74" si="34">SUM(C69:N69)</f>
        <v>79.700734400000016</v>
      </c>
      <c r="P69" s="46"/>
      <c r="Q69" s="131"/>
    </row>
    <row r="70" spans="1:17" s="47" customFormat="1">
      <c r="A70" s="48" t="s">
        <v>68</v>
      </c>
      <c r="B70" s="48" t="s">
        <v>262</v>
      </c>
      <c r="C70" s="52">
        <f t="shared" ref="C70:N70" si="35">C16+C30+C46+C54+C62</f>
        <v>11.5870712</v>
      </c>
      <c r="D70" s="52">
        <f t="shared" si="35"/>
        <v>10.570700200000001</v>
      </c>
      <c r="E70" s="52">
        <f t="shared" si="35"/>
        <v>2.3825791999999999</v>
      </c>
      <c r="F70" s="52">
        <f t="shared" si="35"/>
        <v>0.38257920000000001</v>
      </c>
      <c r="G70" s="52">
        <f t="shared" si="35"/>
        <v>0.38257920000000001</v>
      </c>
      <c r="H70" s="52">
        <f t="shared" si="35"/>
        <v>2.3825791999999999</v>
      </c>
      <c r="I70" s="52">
        <f t="shared" si="35"/>
        <v>1.3825791999999999</v>
      </c>
      <c r="J70" s="52">
        <f t="shared" si="35"/>
        <v>5.0458162000000009</v>
      </c>
      <c r="K70" s="52">
        <f t="shared" si="35"/>
        <v>3.7145641999999999</v>
      </c>
      <c r="L70" s="52">
        <f t="shared" si="35"/>
        <v>7.3825792000000003</v>
      </c>
      <c r="M70" s="52">
        <f t="shared" si="35"/>
        <v>12.602579199999999</v>
      </c>
      <c r="N70" s="52">
        <f t="shared" si="35"/>
        <v>11.7297727</v>
      </c>
      <c r="O70" s="53">
        <f t="shared" si="34"/>
        <v>69.545978899999994</v>
      </c>
      <c r="P70" s="46"/>
      <c r="Q70" s="131"/>
    </row>
    <row r="71" spans="1:17" s="47" customFormat="1">
      <c r="A71" s="150" t="s">
        <v>68</v>
      </c>
      <c r="B71" s="150" t="s">
        <v>73</v>
      </c>
      <c r="C71" s="154">
        <f t="shared" ref="C71:N71" si="36">C16+C31+C47+C55+C63</f>
        <v>8.3071610099999997</v>
      </c>
      <c r="D71" s="154">
        <f t="shared" si="36"/>
        <v>8.1968139799999999</v>
      </c>
      <c r="E71" s="154">
        <f t="shared" si="36"/>
        <v>4.3825792000000003</v>
      </c>
      <c r="F71" s="154">
        <f t="shared" si="36"/>
        <v>0.58257920000000007</v>
      </c>
      <c r="G71" s="154">
        <f t="shared" si="36"/>
        <v>1.6825792000000002</v>
      </c>
      <c r="H71" s="154">
        <f t="shared" si="36"/>
        <v>5.0825792000000005</v>
      </c>
      <c r="I71" s="154">
        <f t="shared" si="36"/>
        <v>7.8825792000000003</v>
      </c>
      <c r="J71" s="154">
        <f t="shared" si="36"/>
        <v>8.4521903799999993</v>
      </c>
      <c r="K71" s="154">
        <f t="shared" si="36"/>
        <v>6.9969001000000004</v>
      </c>
      <c r="L71" s="154">
        <f t="shared" si="36"/>
        <v>8.6825792000000011</v>
      </c>
      <c r="M71" s="154">
        <f t="shared" si="36"/>
        <v>10.3225792</v>
      </c>
      <c r="N71" s="154">
        <f t="shared" si="36"/>
        <v>9.6883722900000002</v>
      </c>
      <c r="O71" s="53">
        <f t="shared" si="34"/>
        <v>80.259492159999994</v>
      </c>
      <c r="P71" s="46"/>
      <c r="Q71" s="131"/>
    </row>
    <row r="72" spans="1:17" s="47" customFormat="1">
      <c r="A72" s="48" t="s">
        <v>68</v>
      </c>
      <c r="B72" s="48" t="s">
        <v>278</v>
      </c>
      <c r="C72" s="52">
        <f t="shared" ref="C72:N72" si="37">C16+C32+C48+C56+C64</f>
        <v>11.673270089999999</v>
      </c>
      <c r="D72" s="52">
        <f t="shared" si="37"/>
        <v>10.64912702</v>
      </c>
      <c r="E72" s="52">
        <f t="shared" si="37"/>
        <v>2.3825791999999999</v>
      </c>
      <c r="F72" s="52">
        <f t="shared" si="37"/>
        <v>0.38257920000000001</v>
      </c>
      <c r="G72" s="52">
        <f t="shared" si="37"/>
        <v>0.38257920000000001</v>
      </c>
      <c r="H72" s="52">
        <f t="shared" si="37"/>
        <v>2.3825791999999999</v>
      </c>
      <c r="I72" s="52">
        <f t="shared" si="37"/>
        <v>1.3825791999999999</v>
      </c>
      <c r="J72" s="52">
        <f t="shared" si="37"/>
        <v>5.6138014150000002</v>
      </c>
      <c r="K72" s="52">
        <f t="shared" si="37"/>
        <v>4.1748246499999997</v>
      </c>
      <c r="L72" s="52">
        <f t="shared" si="37"/>
        <v>7.3825792000000003</v>
      </c>
      <c r="M72" s="52">
        <f t="shared" si="37"/>
        <v>12.734579200000001</v>
      </c>
      <c r="N72" s="52">
        <f t="shared" si="37"/>
        <v>11.9198978075</v>
      </c>
      <c r="O72" s="53">
        <f t="shared" si="34"/>
        <v>71.06097538249999</v>
      </c>
      <c r="P72" s="46"/>
      <c r="Q72" s="131"/>
    </row>
    <row r="73" spans="1:17" s="47" customFormat="1">
      <c r="A73" s="150" t="s">
        <v>68</v>
      </c>
      <c r="B73" s="150" t="s">
        <v>344</v>
      </c>
      <c r="C73" s="154">
        <f t="shared" ref="C73:N73" si="38">C16+C33+C49+C57+C65</f>
        <v>8.3278834141499996</v>
      </c>
      <c r="D73" s="154">
        <f t="shared" si="38"/>
        <v>8.2155309901999996</v>
      </c>
      <c r="E73" s="154">
        <f t="shared" si="38"/>
        <v>4.3825792000000003</v>
      </c>
      <c r="F73" s="154">
        <f t="shared" si="38"/>
        <v>0.58257920000000007</v>
      </c>
      <c r="G73" s="154">
        <f t="shared" si="38"/>
        <v>1.6825792000000002</v>
      </c>
      <c r="H73" s="154">
        <f t="shared" si="38"/>
        <v>5.0825792000000005</v>
      </c>
      <c r="I73" s="154">
        <f t="shared" si="38"/>
        <v>7.8825792000000003</v>
      </c>
      <c r="J73" s="154">
        <f t="shared" si="38"/>
        <v>8.7938924762500008</v>
      </c>
      <c r="K73" s="154">
        <f t="shared" si="38"/>
        <v>7.2636376125000002</v>
      </c>
      <c r="L73" s="154">
        <f t="shared" si="38"/>
        <v>8.6825792000000011</v>
      </c>
      <c r="M73" s="154">
        <f t="shared" si="38"/>
        <v>10.382579199999999</v>
      </c>
      <c r="N73" s="154">
        <f t="shared" si="38"/>
        <v>9.7602233381249999</v>
      </c>
      <c r="O73" s="53">
        <f t="shared" si="34"/>
        <v>81.039222231224997</v>
      </c>
      <c r="P73" s="46"/>
      <c r="Q73" s="131"/>
    </row>
    <row r="74" spans="1:17" s="47" customFormat="1">
      <c r="A74" s="48" t="s">
        <v>68</v>
      </c>
      <c r="B74" s="48" t="s">
        <v>345</v>
      </c>
      <c r="C74" s="52">
        <f t="shared" ref="C74:N74" si="39">C16+C34+C50+C58+C66</f>
        <v>11.770057104399999</v>
      </c>
      <c r="D74" s="52">
        <f t="shared" si="39"/>
        <v>10.7371173072</v>
      </c>
      <c r="E74" s="52">
        <f t="shared" si="39"/>
        <v>2.3825791999999999</v>
      </c>
      <c r="F74" s="52">
        <f t="shared" si="39"/>
        <v>0.38257920000000001</v>
      </c>
      <c r="G74" s="52">
        <f t="shared" si="39"/>
        <v>0.38257920000000001</v>
      </c>
      <c r="H74" s="52">
        <f t="shared" si="39"/>
        <v>2.3825791999999999</v>
      </c>
      <c r="I74" s="52">
        <f t="shared" si="39"/>
        <v>1.3825791999999999</v>
      </c>
      <c r="J74" s="52">
        <f t="shared" si="39"/>
        <v>6.6819075184000001</v>
      </c>
      <c r="K74" s="52">
        <f t="shared" si="39"/>
        <v>5.0271249920000001</v>
      </c>
      <c r="L74" s="52">
        <f t="shared" si="39"/>
        <v>7.3825792000000003</v>
      </c>
      <c r="M74" s="52">
        <f t="shared" si="39"/>
        <v>12.8225792</v>
      </c>
      <c r="N74" s="52">
        <f t="shared" si="39"/>
        <v>12.0736483592</v>
      </c>
      <c r="O74" s="53">
        <f t="shared" si="34"/>
        <v>73.407909681199982</v>
      </c>
      <c r="P74" s="46"/>
      <c r="Q74" s="131"/>
    </row>
    <row r="75" spans="1:17" s="47" customFormat="1">
      <c r="A75" s="48"/>
      <c r="B75" s="48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3"/>
      <c r="P75" s="46"/>
      <c r="Q75" s="131"/>
    </row>
    <row r="76" spans="1:17" s="47" customFormat="1">
      <c r="A76" s="43" t="s">
        <v>348</v>
      </c>
      <c r="B76" s="43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3"/>
      <c r="P76" s="46"/>
      <c r="Q76" s="131"/>
    </row>
    <row r="77" spans="1:17">
      <c r="A77" s="48"/>
      <c r="B77" s="150" t="s">
        <v>191</v>
      </c>
      <c r="C77" s="173">
        <f t="shared" ref="C77:N77" si="40">C3+C4-C69</f>
        <v>-7.1384652000000006</v>
      </c>
      <c r="D77" s="173">
        <f t="shared" si="40"/>
        <v>-7.4318797000000005</v>
      </c>
      <c r="E77" s="173">
        <f t="shared" si="40"/>
        <v>-3.2182392000000002</v>
      </c>
      <c r="F77" s="173">
        <f t="shared" si="40"/>
        <v>3.8375207999999996</v>
      </c>
      <c r="G77" s="173">
        <f t="shared" si="40"/>
        <v>16.0464208</v>
      </c>
      <c r="H77" s="173">
        <f t="shared" si="40"/>
        <v>22.088420800000002</v>
      </c>
      <c r="I77" s="173">
        <f t="shared" si="40"/>
        <v>15.6264208</v>
      </c>
      <c r="J77" s="173">
        <f t="shared" si="40"/>
        <v>6.4353857999999988</v>
      </c>
      <c r="K77" s="173">
        <f t="shared" si="40"/>
        <v>2.1445833000000007</v>
      </c>
      <c r="L77" s="173">
        <f t="shared" si="40"/>
        <v>-4.7843792000000009</v>
      </c>
      <c r="M77" s="173">
        <f t="shared" si="40"/>
        <v>-7.6899791999999998</v>
      </c>
      <c r="N77" s="173">
        <f t="shared" si="40"/>
        <v>-8.1295842</v>
      </c>
      <c r="O77" s="50"/>
      <c r="P77" s="51"/>
    </row>
    <row r="78" spans="1:17">
      <c r="A78" s="48"/>
      <c r="B78" s="48" t="s">
        <v>183</v>
      </c>
      <c r="C78" s="56">
        <f t="shared" ref="C78:N78" si="41">C5+C6-C70</f>
        <v>-9.4590712000000003</v>
      </c>
      <c r="D78" s="56">
        <f t="shared" si="41"/>
        <v>-8.6197002000000005</v>
      </c>
      <c r="E78" s="56">
        <f t="shared" si="41"/>
        <v>-0.35757919999999999</v>
      </c>
      <c r="F78" s="56">
        <f t="shared" si="41"/>
        <v>10.721420799999999</v>
      </c>
      <c r="G78" s="56">
        <f t="shared" si="41"/>
        <v>19.143420800000001</v>
      </c>
      <c r="H78" s="56">
        <f t="shared" si="41"/>
        <v>22.730420800000001</v>
      </c>
      <c r="I78" s="56">
        <f t="shared" si="41"/>
        <v>16.8834208</v>
      </c>
      <c r="J78" s="56">
        <f t="shared" si="41"/>
        <v>5.6841837999999996</v>
      </c>
      <c r="K78" s="56">
        <f t="shared" si="41"/>
        <v>6.9804358000000004</v>
      </c>
      <c r="L78" s="56">
        <f t="shared" si="41"/>
        <v>2.8174207999999989</v>
      </c>
      <c r="M78" s="56">
        <f t="shared" si="41"/>
        <v>-9.4275792000000003</v>
      </c>
      <c r="N78" s="56">
        <f t="shared" si="41"/>
        <v>-8.8887727000000005</v>
      </c>
      <c r="O78" s="50"/>
      <c r="P78" s="51"/>
    </row>
    <row r="79" spans="1:17">
      <c r="A79" s="48"/>
      <c r="B79" s="150" t="s">
        <v>73</v>
      </c>
      <c r="C79" s="173">
        <f t="shared" ref="C79:N79" si="42">C7+C8-C71</f>
        <v>-6.4311610100000003</v>
      </c>
      <c r="D79" s="173">
        <f t="shared" si="42"/>
        <v>-7.0208139799999998</v>
      </c>
      <c r="E79" s="173">
        <f t="shared" si="42"/>
        <v>-2.5445792000000003</v>
      </c>
      <c r="F79" s="173">
        <f t="shared" si="42"/>
        <v>5.7704208000000001</v>
      </c>
      <c r="G79" s="173">
        <f t="shared" si="42"/>
        <v>19.7734208</v>
      </c>
      <c r="H79" s="173">
        <f t="shared" si="42"/>
        <v>18.7554208</v>
      </c>
      <c r="I79" s="173">
        <f t="shared" si="42"/>
        <v>10.377420800000001</v>
      </c>
      <c r="J79" s="173">
        <f t="shared" si="42"/>
        <v>4.8088096199999999</v>
      </c>
      <c r="K79" s="173">
        <f t="shared" si="42"/>
        <v>2.174099899999999</v>
      </c>
      <c r="L79" s="173">
        <f t="shared" si="42"/>
        <v>-2.1855792000000012</v>
      </c>
      <c r="M79" s="173">
        <f t="shared" si="42"/>
        <v>-5.8885791999999997</v>
      </c>
      <c r="N79" s="173">
        <f t="shared" si="42"/>
        <v>-7.1523722900000006</v>
      </c>
      <c r="O79" s="50"/>
      <c r="P79" s="51"/>
    </row>
    <row r="80" spans="1:17">
      <c r="A80" s="48"/>
      <c r="B80" s="48" t="s">
        <v>278</v>
      </c>
      <c r="C80" s="56">
        <f t="shared" ref="C80:N80" si="43">C9+C10-C72</f>
        <v>-10.573270089999999</v>
      </c>
      <c r="D80" s="56">
        <f t="shared" si="43"/>
        <v>-8.5831270199999992</v>
      </c>
      <c r="E80" s="56">
        <f t="shared" si="43"/>
        <v>-0.31257920000000006</v>
      </c>
      <c r="F80" s="56">
        <f t="shared" si="43"/>
        <v>8.3784207999999989</v>
      </c>
      <c r="G80" s="56">
        <f t="shared" si="43"/>
        <v>19.242420800000001</v>
      </c>
      <c r="H80" s="56">
        <f t="shared" si="43"/>
        <v>23.485420800000004</v>
      </c>
      <c r="I80" s="56">
        <f t="shared" si="43"/>
        <v>16.351420800000003</v>
      </c>
      <c r="J80" s="56">
        <f t="shared" si="43"/>
        <v>4.8841985849999991</v>
      </c>
      <c r="K80" s="56">
        <f t="shared" si="43"/>
        <v>6.8511753500000001</v>
      </c>
      <c r="L80" s="56">
        <f t="shared" si="43"/>
        <v>3.8354207999999996</v>
      </c>
      <c r="M80" s="56">
        <f t="shared" si="43"/>
        <v>-9.7475792000000006</v>
      </c>
      <c r="N80" s="56">
        <f t="shared" si="43"/>
        <v>-9.1788978075000003</v>
      </c>
      <c r="O80" s="50"/>
      <c r="P80" s="51"/>
    </row>
    <row r="81" spans="1:17">
      <c r="A81" s="48"/>
      <c r="B81" s="150" t="s">
        <v>344</v>
      </c>
      <c r="C81" s="173">
        <f t="shared" ref="C81:N81" si="44">C11+C12-C73</f>
        <v>-4.4768834141499996</v>
      </c>
      <c r="D81" s="173">
        <f t="shared" si="44"/>
        <v>-6.2265309901999997</v>
      </c>
      <c r="E81" s="173">
        <f t="shared" si="44"/>
        <v>-0.95057919999999996</v>
      </c>
      <c r="F81" s="173">
        <f t="shared" si="44"/>
        <v>9.1494207999999997</v>
      </c>
      <c r="G81" s="173">
        <f t="shared" si="44"/>
        <v>20.9334208</v>
      </c>
      <c r="H81" s="173">
        <f t="shared" si="44"/>
        <v>10.064420800000001</v>
      </c>
      <c r="I81" s="173">
        <f t="shared" si="44"/>
        <v>3.3964207999999996</v>
      </c>
      <c r="J81" s="173">
        <f t="shared" si="44"/>
        <v>-1.0892476250001337E-2</v>
      </c>
      <c r="K81" s="173">
        <f t="shared" si="44"/>
        <v>-0.47463761250000047</v>
      </c>
      <c r="L81" s="173">
        <f t="shared" si="44"/>
        <v>-2.7285792000000004</v>
      </c>
      <c r="M81" s="173">
        <f t="shared" si="44"/>
        <v>-4.8075791999999984</v>
      </c>
      <c r="N81" s="173">
        <f t="shared" si="44"/>
        <v>-5.1552233381250003</v>
      </c>
      <c r="P81" s="51"/>
    </row>
    <row r="82" spans="1:17">
      <c r="A82" s="48"/>
      <c r="B82" s="48" t="s">
        <v>345</v>
      </c>
      <c r="C82" s="56">
        <f t="shared" ref="C82:N82" si="45">C13+C14-C74</f>
        <v>-11.2300571044</v>
      </c>
      <c r="D82" s="56">
        <f t="shared" si="45"/>
        <v>-8.7744173072000002</v>
      </c>
      <c r="E82" s="56">
        <f t="shared" si="45"/>
        <v>-0.41607919999999998</v>
      </c>
      <c r="F82" s="56">
        <f t="shared" si="45"/>
        <v>7.9403707999999984</v>
      </c>
      <c r="G82" s="56">
        <f t="shared" si="45"/>
        <v>14.9174208</v>
      </c>
      <c r="H82" s="56">
        <f t="shared" si="45"/>
        <v>17.511820800000002</v>
      </c>
      <c r="I82" s="56">
        <f t="shared" si="45"/>
        <v>11.604620800000001</v>
      </c>
      <c r="J82" s="56">
        <f t="shared" si="45"/>
        <v>-8.350751839999937E-2</v>
      </c>
      <c r="K82" s="56">
        <f t="shared" si="45"/>
        <v>2.7936750080000001</v>
      </c>
      <c r="L82" s="56">
        <f t="shared" si="45"/>
        <v>1.5918207999999989</v>
      </c>
      <c r="M82" s="56">
        <f t="shared" si="45"/>
        <v>-9.9849291999999998</v>
      </c>
      <c r="N82" s="56">
        <f t="shared" si="45"/>
        <v>-9.4696983592000006</v>
      </c>
      <c r="P82" s="55"/>
    </row>
    <row r="83" spans="1:17">
      <c r="A83" s="48"/>
      <c r="B83" s="48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P83" s="55"/>
    </row>
    <row r="84" spans="1:17">
      <c r="A84" s="43" t="s">
        <v>349</v>
      </c>
      <c r="B84" s="48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P84" s="55"/>
    </row>
    <row r="85" spans="1:17">
      <c r="A85" s="48"/>
      <c r="B85" s="150" t="s">
        <v>191</v>
      </c>
      <c r="C85" s="173">
        <f>IF(N85+C77&gt;45,45,N85+C77)</f>
        <v>17.257592199999998</v>
      </c>
      <c r="D85" s="173">
        <f t="shared" ref="D85:E85" si="46">IF(C85+D77&gt;45,45,C85+D77)</f>
        <v>9.8257124999999981</v>
      </c>
      <c r="E85" s="173">
        <f t="shared" si="46"/>
        <v>6.6074732999999979</v>
      </c>
      <c r="F85" s="173">
        <f t="shared" ref="F85:G85" si="47">IF(E85+F77&gt;45,45,E85+F77)</f>
        <v>10.444994099999997</v>
      </c>
      <c r="G85" s="173">
        <f t="shared" si="47"/>
        <v>26.491414899999995</v>
      </c>
      <c r="H85" s="173">
        <f>IF(G85+H77&gt;45,45,G85+H77)</f>
        <v>45</v>
      </c>
      <c r="I85" s="173">
        <f>IF(H85+I77&gt;45,45,H85+I77)</f>
        <v>45</v>
      </c>
      <c r="J85" s="173">
        <f>45</f>
        <v>45</v>
      </c>
      <c r="K85" s="173">
        <f t="shared" ref="K85:N85" si="48">IF(J85+K77&gt;45,45,J85+K77)</f>
        <v>45</v>
      </c>
      <c r="L85" s="173">
        <f t="shared" si="48"/>
        <v>40.215620799999996</v>
      </c>
      <c r="M85" s="173">
        <f t="shared" si="48"/>
        <v>32.5256416</v>
      </c>
      <c r="N85" s="173">
        <f t="shared" si="48"/>
        <v>24.3960574</v>
      </c>
      <c r="P85" s="55">
        <v>45</v>
      </c>
      <c r="Q85" s="174" t="s">
        <v>350</v>
      </c>
    </row>
    <row r="86" spans="1:17">
      <c r="A86" s="48"/>
      <c r="B86" s="48" t="s">
        <v>183</v>
      </c>
      <c r="C86" s="56">
        <f t="shared" ref="C86:C90" si="49">IF(N86+C78&gt;45,45,N86+C78)</f>
        <v>17.224576900000002</v>
      </c>
      <c r="D86" s="56">
        <f t="shared" ref="D86:I86" si="50">IF(C86+D78&gt;45,45,C86+D78)</f>
        <v>8.6048767000000019</v>
      </c>
      <c r="E86" s="56">
        <f t="shared" si="50"/>
        <v>8.2472975000000019</v>
      </c>
      <c r="F86" s="56">
        <f t="shared" si="50"/>
        <v>18.968718299999999</v>
      </c>
      <c r="G86" s="56">
        <f t="shared" si="50"/>
        <v>38.1121391</v>
      </c>
      <c r="H86" s="56">
        <f t="shared" si="50"/>
        <v>45</v>
      </c>
      <c r="I86" s="56">
        <f t="shared" si="50"/>
        <v>45</v>
      </c>
      <c r="J86" s="56">
        <f>45</f>
        <v>45</v>
      </c>
      <c r="K86" s="56">
        <f t="shared" ref="K86:N86" si="51">IF(J86+K78&gt;45,45,J86+K78)</f>
        <v>45</v>
      </c>
      <c r="L86" s="56">
        <f t="shared" si="51"/>
        <v>45</v>
      </c>
      <c r="M86" s="56">
        <f t="shared" si="51"/>
        <v>35.572420800000003</v>
      </c>
      <c r="N86" s="56">
        <f t="shared" si="51"/>
        <v>26.683648100000003</v>
      </c>
      <c r="P86" s="55"/>
    </row>
    <row r="87" spans="1:17">
      <c r="A87" s="48"/>
      <c r="B87" s="150" t="s">
        <v>73</v>
      </c>
      <c r="C87" s="173">
        <f t="shared" si="49"/>
        <v>23.342308299999996</v>
      </c>
      <c r="D87" s="173">
        <f t="shared" ref="D87:I87" si="52">IF(C87+D79&gt;45,45,C87+D79)</f>
        <v>16.321494319999996</v>
      </c>
      <c r="E87" s="173">
        <f t="shared" si="52"/>
        <v>13.776915119999995</v>
      </c>
      <c r="F87" s="173">
        <f t="shared" si="52"/>
        <v>19.547335919999995</v>
      </c>
      <c r="G87" s="173">
        <f t="shared" si="52"/>
        <v>39.320756719999991</v>
      </c>
      <c r="H87" s="173">
        <f t="shared" si="52"/>
        <v>45</v>
      </c>
      <c r="I87" s="173">
        <f t="shared" si="52"/>
        <v>45</v>
      </c>
      <c r="J87" s="173">
        <f>45</f>
        <v>45</v>
      </c>
      <c r="K87" s="173">
        <f t="shared" ref="K87:N87" si="53">IF(J87+K79&gt;45,45,J87+K79)</f>
        <v>45</v>
      </c>
      <c r="L87" s="173">
        <f t="shared" si="53"/>
        <v>42.814420800000001</v>
      </c>
      <c r="M87" s="173">
        <f t="shared" si="53"/>
        <v>36.925841599999998</v>
      </c>
      <c r="N87" s="173">
        <f t="shared" si="53"/>
        <v>29.773469309999996</v>
      </c>
      <c r="P87" s="55"/>
    </row>
    <row r="88" spans="1:17">
      <c r="A88" s="48"/>
      <c r="B88" s="48" t="s">
        <v>278</v>
      </c>
      <c r="C88" s="56">
        <f t="shared" si="49"/>
        <v>15.500252902499996</v>
      </c>
      <c r="D88" s="56">
        <f t="shared" ref="D88:I88" si="54">IF(C88+D80&gt;45,45,C88+D80)</f>
        <v>6.917125882499997</v>
      </c>
      <c r="E88" s="56">
        <f t="shared" si="54"/>
        <v>6.604546682499997</v>
      </c>
      <c r="F88" s="56">
        <f t="shared" si="54"/>
        <v>14.982967482499996</v>
      </c>
      <c r="G88" s="56">
        <f t="shared" si="54"/>
        <v>34.225388282499999</v>
      </c>
      <c r="H88" s="56">
        <f t="shared" si="54"/>
        <v>45</v>
      </c>
      <c r="I88" s="56">
        <f t="shared" si="54"/>
        <v>45</v>
      </c>
      <c r="J88" s="56">
        <f>45</f>
        <v>45</v>
      </c>
      <c r="K88" s="56">
        <f t="shared" ref="K88:N88" si="55">IF(J88+K80&gt;45,45,J88+K80)</f>
        <v>45</v>
      </c>
      <c r="L88" s="56">
        <f t="shared" si="55"/>
        <v>45</v>
      </c>
      <c r="M88" s="56">
        <f t="shared" si="55"/>
        <v>35.252420799999996</v>
      </c>
      <c r="N88" s="56">
        <f t="shared" si="55"/>
        <v>26.073522992499996</v>
      </c>
      <c r="P88" s="55"/>
    </row>
    <row r="89" spans="1:17">
      <c r="A89" s="48"/>
      <c r="B89" s="150" t="s">
        <v>344</v>
      </c>
      <c r="C89" s="173">
        <f t="shared" si="49"/>
        <v>27.357097235224998</v>
      </c>
      <c r="D89" s="173">
        <f t="shared" ref="D89:I89" si="56">IF(C89+D81&gt;45,45,C89+D81)</f>
        <v>21.130566245024998</v>
      </c>
      <c r="E89" s="173">
        <f t="shared" si="56"/>
        <v>20.179987045024998</v>
      </c>
      <c r="F89" s="173">
        <f t="shared" si="56"/>
        <v>29.329407845024996</v>
      </c>
      <c r="G89" s="173">
        <f t="shared" si="56"/>
        <v>45</v>
      </c>
      <c r="H89" s="173">
        <f t="shared" si="56"/>
        <v>45</v>
      </c>
      <c r="I89" s="173">
        <f t="shared" si="56"/>
        <v>45</v>
      </c>
      <c r="J89" s="173">
        <f>45</f>
        <v>45</v>
      </c>
      <c r="K89" s="173">
        <f t="shared" ref="K89:N89" si="57">IF(J89+K81&gt;45,45,J89+K81)</f>
        <v>44.525362387499996</v>
      </c>
      <c r="L89" s="173">
        <f t="shared" si="57"/>
        <v>41.796783187499997</v>
      </c>
      <c r="M89" s="173">
        <f t="shared" si="57"/>
        <v>36.989203987499998</v>
      </c>
      <c r="N89" s="173">
        <f t="shared" si="57"/>
        <v>31.833980649374997</v>
      </c>
      <c r="P89" s="55"/>
    </row>
    <row r="90" spans="1:17">
      <c r="A90" s="48"/>
      <c r="B90" s="48" t="s">
        <v>345</v>
      </c>
      <c r="C90" s="56">
        <f t="shared" si="49"/>
        <v>14.315315336400001</v>
      </c>
      <c r="D90" s="56">
        <f t="shared" ref="D90:I90" si="58">IF(C90+D82&gt;45,45,C90+D82)</f>
        <v>5.540898029200001</v>
      </c>
      <c r="E90" s="56">
        <f t="shared" si="58"/>
        <v>5.1248188292000005</v>
      </c>
      <c r="F90" s="56">
        <f t="shared" si="58"/>
        <v>13.065189629199999</v>
      </c>
      <c r="G90" s="56">
        <f t="shared" si="58"/>
        <v>27.982610429200001</v>
      </c>
      <c r="H90" s="56">
        <f t="shared" si="58"/>
        <v>45</v>
      </c>
      <c r="I90" s="56">
        <f t="shared" si="58"/>
        <v>45</v>
      </c>
      <c r="J90" s="56">
        <f>45</f>
        <v>45</v>
      </c>
      <c r="K90" s="56">
        <f t="shared" ref="K90:N90" si="59">IF(J90+K82&gt;45,45,J90+K82)</f>
        <v>45</v>
      </c>
      <c r="L90" s="56">
        <f t="shared" si="59"/>
        <v>45</v>
      </c>
      <c r="M90" s="56">
        <f t="shared" si="59"/>
        <v>35.015070800000004</v>
      </c>
      <c r="N90" s="56">
        <f t="shared" si="59"/>
        <v>25.545372440800001</v>
      </c>
      <c r="P90" s="55">
        <f>IF(G85+H77&gt;45,45,H85)</f>
        <v>45</v>
      </c>
    </row>
    <row r="91" spans="1:17">
      <c r="A91" s="48"/>
      <c r="B91" s="48"/>
      <c r="C91" s="5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P91" s="55"/>
    </row>
    <row r="92" spans="1:17" s="22" customFormat="1" ht="42">
      <c r="A92" s="162" t="s">
        <v>87</v>
      </c>
      <c r="B92" s="163" t="s">
        <v>88</v>
      </c>
      <c r="C92" s="164" t="s">
        <v>89</v>
      </c>
      <c r="D92" s="165"/>
      <c r="E92" s="164" t="s">
        <v>90</v>
      </c>
      <c r="F92" s="165"/>
      <c r="G92" s="166" t="s">
        <v>91</v>
      </c>
      <c r="H92" s="167"/>
      <c r="I92" s="167"/>
      <c r="J92" s="167"/>
      <c r="K92" s="167"/>
      <c r="L92" s="167"/>
      <c r="M92" s="167"/>
      <c r="N92" s="167"/>
      <c r="O92" s="168"/>
      <c r="P92" s="169"/>
      <c r="Q92" s="169"/>
    </row>
    <row r="93" spans="1:17">
      <c r="A93" s="150" t="s">
        <v>58</v>
      </c>
      <c r="B93" s="170">
        <v>36500</v>
      </c>
      <c r="C93" s="171">
        <f>0.28*2</f>
        <v>0.56000000000000005</v>
      </c>
      <c r="D93" s="150"/>
      <c r="E93" s="171">
        <f>0.3*2</f>
        <v>0.6</v>
      </c>
      <c r="F93" s="150"/>
      <c r="G93" s="156">
        <f t="shared" ref="G93:G98" si="60">(8*C93+4*E93)/12</f>
        <v>0.57333333333333336</v>
      </c>
      <c r="H93" s="150"/>
      <c r="I93" s="150"/>
      <c r="J93" s="150"/>
      <c r="K93" s="150"/>
      <c r="L93" s="150"/>
      <c r="M93" s="150"/>
      <c r="N93" s="150"/>
      <c r="O93" s="156"/>
      <c r="P93" s="159"/>
      <c r="Q93" s="150" t="s">
        <v>333</v>
      </c>
    </row>
    <row r="94" spans="1:17">
      <c r="A94" s="150" t="s">
        <v>60</v>
      </c>
      <c r="B94" s="170">
        <v>36500</v>
      </c>
      <c r="C94" s="171">
        <f>0.28*2</f>
        <v>0.56000000000000005</v>
      </c>
      <c r="D94" s="150"/>
      <c r="E94" s="171">
        <f>0.33*2</f>
        <v>0.66</v>
      </c>
      <c r="F94" s="150"/>
      <c r="G94" s="156">
        <f t="shared" si="60"/>
        <v>0.59333333333333338</v>
      </c>
      <c r="H94" s="150"/>
      <c r="I94" s="150"/>
      <c r="J94" s="150"/>
      <c r="K94" s="150"/>
      <c r="L94" s="150"/>
      <c r="M94" s="150"/>
      <c r="N94" s="150"/>
      <c r="O94" s="156"/>
      <c r="P94" s="159"/>
      <c r="Q94" s="150" t="s">
        <v>333</v>
      </c>
    </row>
    <row r="95" spans="1:17">
      <c r="A95" s="150" t="s">
        <v>62</v>
      </c>
      <c r="B95" s="170">
        <f>B93*(1+K95)</f>
        <v>48545</v>
      </c>
      <c r="C95" s="171">
        <f>0.26*2</f>
        <v>0.52</v>
      </c>
      <c r="D95" s="150"/>
      <c r="E95" s="171">
        <f>0.28*2</f>
        <v>0.56000000000000005</v>
      </c>
      <c r="F95" s="150"/>
      <c r="G95" s="156">
        <f t="shared" si="60"/>
        <v>0.53333333333333333</v>
      </c>
      <c r="H95" s="150"/>
      <c r="I95" s="150"/>
      <c r="J95" s="150" t="s">
        <v>169</v>
      </c>
      <c r="K95" s="172">
        <v>0.33</v>
      </c>
      <c r="L95" s="150"/>
      <c r="M95" s="150"/>
      <c r="N95" s="150"/>
      <c r="O95" s="156"/>
      <c r="P95" s="159" t="s">
        <v>168</v>
      </c>
      <c r="Q95" s="150" t="s">
        <v>333</v>
      </c>
    </row>
    <row r="96" spans="1:17">
      <c r="A96" s="150" t="s">
        <v>63</v>
      </c>
      <c r="B96" s="170">
        <f t="shared" ref="B96:B98" si="61">B94*(1+K96)</f>
        <v>48545</v>
      </c>
      <c r="C96" s="171">
        <f>0.26*2</f>
        <v>0.52</v>
      </c>
      <c r="D96" s="150"/>
      <c r="E96" s="171">
        <f>0.31*2</f>
        <v>0.62</v>
      </c>
      <c r="F96" s="150"/>
      <c r="G96" s="156">
        <f t="shared" si="60"/>
        <v>0.55333333333333334</v>
      </c>
      <c r="H96" s="150"/>
      <c r="I96" s="150"/>
      <c r="J96" s="150" t="s">
        <v>169</v>
      </c>
      <c r="K96" s="172">
        <v>0.33</v>
      </c>
      <c r="L96" s="150"/>
      <c r="M96" s="150"/>
      <c r="N96" s="150"/>
      <c r="O96" s="156"/>
      <c r="P96" s="159"/>
      <c r="Q96" s="150" t="s">
        <v>333</v>
      </c>
    </row>
    <row r="97" spans="1:17">
      <c r="A97" s="150" t="s">
        <v>64</v>
      </c>
      <c r="B97" s="170">
        <f t="shared" si="61"/>
        <v>64564.850000000006</v>
      </c>
      <c r="C97" s="171">
        <f>0.23*2</f>
        <v>0.46</v>
      </c>
      <c r="D97" s="150"/>
      <c r="E97" s="171">
        <f>0.25*2</f>
        <v>0.5</v>
      </c>
      <c r="F97" s="150"/>
      <c r="G97" s="156">
        <f t="shared" si="60"/>
        <v>0.47333333333333333</v>
      </c>
      <c r="H97" s="150"/>
      <c r="I97" s="150"/>
      <c r="J97" s="150" t="s">
        <v>169</v>
      </c>
      <c r="K97" s="172">
        <v>0.33</v>
      </c>
      <c r="L97" s="150"/>
      <c r="M97" s="150"/>
      <c r="N97" s="150"/>
      <c r="O97" s="156"/>
      <c r="P97" s="159"/>
      <c r="Q97" s="150" t="s">
        <v>333</v>
      </c>
    </row>
    <row r="98" spans="1:17">
      <c r="A98" s="150" t="s">
        <v>65</v>
      </c>
      <c r="B98" s="170">
        <f t="shared" si="61"/>
        <v>64564.850000000006</v>
      </c>
      <c r="C98" s="171">
        <f>0.23*2</f>
        <v>0.46</v>
      </c>
      <c r="D98" s="150"/>
      <c r="E98" s="171">
        <f>0.28*2</f>
        <v>0.56000000000000005</v>
      </c>
      <c r="F98" s="150"/>
      <c r="G98" s="156">
        <f t="shared" si="60"/>
        <v>0.49333333333333335</v>
      </c>
      <c r="H98" s="150"/>
      <c r="I98" s="150"/>
      <c r="J98" s="150" t="s">
        <v>169</v>
      </c>
      <c r="K98" s="172">
        <v>0.33</v>
      </c>
      <c r="L98" s="150"/>
      <c r="M98" s="150"/>
      <c r="N98" s="150"/>
      <c r="O98" s="156"/>
      <c r="P98" s="159"/>
      <c r="Q98" s="150" t="s">
        <v>333</v>
      </c>
    </row>
    <row r="99" spans="1:17">
      <c r="A99" s="48"/>
      <c r="B99" s="98"/>
      <c r="C99" s="74"/>
      <c r="D99" s="48"/>
      <c r="E99" s="74"/>
      <c r="F99" s="48"/>
      <c r="G99" s="49"/>
      <c r="H99" s="48"/>
      <c r="I99" s="48"/>
      <c r="J99" s="48"/>
      <c r="K99" s="63"/>
      <c r="L99" s="48"/>
      <c r="M99" s="48"/>
      <c r="N99" s="48"/>
      <c r="O99" s="50"/>
      <c r="P99" s="75"/>
      <c r="Q99"/>
    </row>
    <row r="100" spans="1:17">
      <c r="A100" s="153" t="s">
        <v>271</v>
      </c>
      <c r="B100" s="150"/>
      <c r="C100" s="158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  <c r="O100" s="150"/>
      <c r="P100" s="159"/>
      <c r="Q100" s="150"/>
    </row>
    <row r="101" spans="1:17">
      <c r="A101" s="150" t="s">
        <v>272</v>
      </c>
      <c r="B101" s="150"/>
      <c r="C101" s="160">
        <f>(145+175)</f>
        <v>320</v>
      </c>
      <c r="D101" s="161">
        <f>(190+175)</f>
        <v>365</v>
      </c>
      <c r="E101" s="160">
        <f>(130+130)</f>
        <v>260</v>
      </c>
      <c r="F101" s="161">
        <f>(55+50)</f>
        <v>105</v>
      </c>
      <c r="G101" s="161">
        <f>(25+20)</f>
        <v>45</v>
      </c>
      <c r="H101" s="161">
        <f>80+85</f>
        <v>165</v>
      </c>
      <c r="I101" s="161">
        <f>(160+170)</f>
        <v>330</v>
      </c>
      <c r="J101" s="161">
        <f>(150+170)</f>
        <v>320</v>
      </c>
      <c r="K101" s="161">
        <f>(90+105)</f>
        <v>195</v>
      </c>
      <c r="L101" s="161">
        <f>(35+30)</f>
        <v>65</v>
      </c>
      <c r="M101" s="161">
        <f>(20+10)</f>
        <v>30</v>
      </c>
      <c r="N101" s="161">
        <f>(115+115)</f>
        <v>230</v>
      </c>
      <c r="O101" s="161">
        <f>SUM(C101:N101)</f>
        <v>2430</v>
      </c>
      <c r="P101" s="159" t="s">
        <v>281</v>
      </c>
      <c r="Q101" s="150" t="s">
        <v>333</v>
      </c>
    </row>
    <row r="102" spans="1:17">
      <c r="A102" s="48"/>
      <c r="B102" s="48"/>
      <c r="C102" s="5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P102" s="76"/>
      <c r="Q102"/>
    </row>
    <row r="103" spans="1:17">
      <c r="A103" s="48"/>
      <c r="B103" s="48"/>
      <c r="C103" s="5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P103" s="76"/>
      <c r="Q103"/>
    </row>
    <row r="104" spans="1:17">
      <c r="A104" s="48"/>
      <c r="B104" s="48"/>
      <c r="C104" s="5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P104" s="76"/>
      <c r="Q104"/>
    </row>
    <row r="105" spans="1:17">
      <c r="A105" s="48"/>
      <c r="B105" s="48"/>
      <c r="C105" s="5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P105" s="76"/>
      <c r="Q105"/>
    </row>
    <row r="106" spans="1:17">
      <c r="A106" s="48"/>
      <c r="B106" s="48"/>
      <c r="C106" s="5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P106" s="76"/>
      <c r="Q106"/>
    </row>
    <row r="107" spans="1:17">
      <c r="A107" s="48"/>
      <c r="B107" s="48"/>
      <c r="C107" s="5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P107" s="76"/>
      <c r="Q107"/>
    </row>
    <row r="108" spans="1:17">
      <c r="A108" s="48"/>
      <c r="B108" s="48"/>
      <c r="C108" s="5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P108" s="76"/>
      <c r="Q108"/>
    </row>
    <row r="109" spans="1:17">
      <c r="A109" s="48"/>
      <c r="B109" s="48"/>
      <c r="C109" s="5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P109" s="76"/>
      <c r="Q109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zoomScale="90" zoomScaleNormal="90" zoomScalePageLayoutView="90" workbookViewId="0">
      <selection activeCell="C23" sqref="C23"/>
    </sheetView>
  </sheetViews>
  <sheetFormatPr baseColWidth="10" defaultRowHeight="14" x14ac:dyDescent="0"/>
  <cols>
    <col min="1" max="1" width="21.5" style="77" customWidth="1"/>
    <col min="2" max="2" width="17.5" style="77" customWidth="1"/>
    <col min="3" max="3" width="7.33203125" style="78" customWidth="1"/>
    <col min="4" max="4" width="8.1640625" style="79" customWidth="1"/>
    <col min="5" max="7" width="7.33203125" style="79" customWidth="1"/>
    <col min="8" max="8" width="7.5" style="79" customWidth="1"/>
    <col min="9" max="9" width="7.6640625" style="79" customWidth="1"/>
    <col min="10" max="10" width="8.1640625" style="79" customWidth="1"/>
    <col min="11" max="12" width="7.5" style="79" customWidth="1"/>
    <col min="13" max="13" width="8.5" style="79" customWidth="1"/>
    <col min="14" max="14" width="7.5" style="79" customWidth="1"/>
    <col min="15" max="15" width="8.1640625" style="57" customWidth="1"/>
    <col min="16" max="16" width="30.5" style="80" customWidth="1"/>
    <col min="17" max="17" width="61.5" style="75" customWidth="1"/>
  </cols>
  <sheetData>
    <row r="1" spans="1:21" s="33" customFormat="1" ht="18">
      <c r="A1" s="28" t="s">
        <v>38</v>
      </c>
      <c r="B1" s="29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0" t="s">
        <v>46</v>
      </c>
      <c r="J1" s="30" t="s">
        <v>47</v>
      </c>
      <c r="K1" s="30" t="s">
        <v>48</v>
      </c>
      <c r="L1" s="30" t="s">
        <v>49</v>
      </c>
      <c r="M1" s="30" t="s">
        <v>50</v>
      </c>
      <c r="N1" s="30" t="s">
        <v>51</v>
      </c>
      <c r="O1" s="31" t="s">
        <v>52</v>
      </c>
      <c r="P1" s="32" t="s">
        <v>53</v>
      </c>
      <c r="Q1" s="32" t="s">
        <v>54</v>
      </c>
    </row>
    <row r="2" spans="1:21" s="38" customFormat="1">
      <c r="A2" s="34"/>
      <c r="B2" s="34"/>
      <c r="C2" s="35" t="s">
        <v>55</v>
      </c>
      <c r="D2" s="35" t="s">
        <v>55</v>
      </c>
      <c r="E2" s="35" t="s">
        <v>55</v>
      </c>
      <c r="F2" s="35" t="s">
        <v>55</v>
      </c>
      <c r="G2" s="35" t="s">
        <v>55</v>
      </c>
      <c r="H2" s="35" t="s">
        <v>55</v>
      </c>
      <c r="I2" s="35" t="s">
        <v>55</v>
      </c>
      <c r="J2" s="35" t="s">
        <v>55</v>
      </c>
      <c r="K2" s="35" t="s">
        <v>55</v>
      </c>
      <c r="L2" s="35" t="s">
        <v>55</v>
      </c>
      <c r="M2" s="35" t="s">
        <v>55</v>
      </c>
      <c r="N2" s="35" t="s">
        <v>55</v>
      </c>
      <c r="O2" s="36" t="s">
        <v>55</v>
      </c>
      <c r="P2" s="37"/>
      <c r="Q2" s="37"/>
    </row>
    <row r="3" spans="1:21" s="38" customFormat="1">
      <c r="A3" s="39"/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  <c r="P3" s="42"/>
      <c r="Q3" s="37"/>
    </row>
    <row r="4" spans="1:21" s="47" customFormat="1">
      <c r="A4" s="43" t="s">
        <v>56</v>
      </c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6"/>
      <c r="Q4" s="131"/>
      <c r="R4" s="47">
        <v>10</v>
      </c>
      <c r="S4" s="47" t="s">
        <v>57</v>
      </c>
    </row>
    <row r="5" spans="1:21">
      <c r="A5" s="48" t="s">
        <v>241</v>
      </c>
      <c r="B5" s="48" t="s">
        <v>166</v>
      </c>
      <c r="C5" s="87">
        <v>1</v>
      </c>
      <c r="D5" s="87">
        <v>1</v>
      </c>
      <c r="E5" s="87">
        <v>1.2</v>
      </c>
      <c r="F5" s="87">
        <v>4</v>
      </c>
      <c r="G5" s="87">
        <v>8</v>
      </c>
      <c r="H5" s="87">
        <v>25</v>
      </c>
      <c r="I5" s="87">
        <v>20</v>
      </c>
      <c r="J5" s="87">
        <v>11</v>
      </c>
      <c r="K5" s="87">
        <v>5.2</v>
      </c>
      <c r="L5" s="87">
        <v>3</v>
      </c>
      <c r="M5" s="87">
        <v>2</v>
      </c>
      <c r="N5" s="87">
        <v>1.5</v>
      </c>
      <c r="O5" s="50">
        <f t="shared" ref="O5:O14" si="0">SUM(C5:N5)</f>
        <v>82.9</v>
      </c>
      <c r="P5" s="51"/>
      <c r="Q5" s="75" t="s">
        <v>188</v>
      </c>
      <c r="R5">
        <v>360</v>
      </c>
      <c r="S5" t="s">
        <v>59</v>
      </c>
    </row>
    <row r="6" spans="1:21">
      <c r="A6" s="48" t="s">
        <v>165</v>
      </c>
      <c r="B6" s="48" t="s">
        <v>166</v>
      </c>
      <c r="C6" s="97">
        <v>0.83599999999999997</v>
      </c>
      <c r="D6" s="97">
        <v>0.64700000000000002</v>
      </c>
      <c r="E6" s="97">
        <v>0.73099999999999998</v>
      </c>
      <c r="F6" s="97">
        <v>4.577</v>
      </c>
      <c r="G6" s="97">
        <v>13.087</v>
      </c>
      <c r="H6" s="97">
        <v>14.026</v>
      </c>
      <c r="I6" s="97">
        <v>13.262</v>
      </c>
      <c r="J6" s="97">
        <v>7.0720000000000001</v>
      </c>
      <c r="K6" s="97">
        <v>3.1040000000000001</v>
      </c>
      <c r="L6" s="97">
        <v>2.7</v>
      </c>
      <c r="M6" s="97">
        <v>2.3290000000000002</v>
      </c>
      <c r="N6" s="97">
        <v>1.294</v>
      </c>
      <c r="O6" s="50">
        <f t="shared" si="0"/>
        <v>63.664999999999999</v>
      </c>
      <c r="P6" s="51">
        <f>O6/O5</f>
        <v>0.76797346200241245</v>
      </c>
      <c r="Q6" s="75" t="s">
        <v>279</v>
      </c>
    </row>
    <row r="7" spans="1:21">
      <c r="A7" s="48" t="s">
        <v>241</v>
      </c>
      <c r="B7" s="48" t="s">
        <v>183</v>
      </c>
      <c r="C7" s="87">
        <v>1</v>
      </c>
      <c r="D7" s="87">
        <v>1.2</v>
      </c>
      <c r="E7" s="87">
        <v>1.2</v>
      </c>
      <c r="F7" s="87">
        <v>4.5</v>
      </c>
      <c r="G7" s="87">
        <v>13.5</v>
      </c>
      <c r="H7" s="87">
        <v>16.5</v>
      </c>
      <c r="I7" s="87">
        <v>12</v>
      </c>
      <c r="J7" s="87">
        <v>8.5</v>
      </c>
      <c r="K7" s="87">
        <v>8</v>
      </c>
      <c r="L7" s="87">
        <v>6.5</v>
      </c>
      <c r="M7" s="87">
        <v>2</v>
      </c>
      <c r="N7" s="87">
        <v>2</v>
      </c>
      <c r="O7" s="50">
        <f t="shared" si="0"/>
        <v>76.900000000000006</v>
      </c>
      <c r="P7" s="51"/>
    </row>
    <row r="8" spans="1:21">
      <c r="A8" s="48" t="s">
        <v>165</v>
      </c>
      <c r="B8" s="48" t="s">
        <v>183</v>
      </c>
      <c r="C8" s="130">
        <v>1.1279999999999999</v>
      </c>
      <c r="D8" s="97">
        <v>0.751</v>
      </c>
      <c r="E8" s="97">
        <v>0.82499999999999996</v>
      </c>
      <c r="F8" s="97">
        <v>6.6040000000000001</v>
      </c>
      <c r="G8" s="97">
        <v>6.0259999999999998</v>
      </c>
      <c r="H8" s="97">
        <v>8.6129999999999995</v>
      </c>
      <c r="I8" s="97">
        <v>6.266</v>
      </c>
      <c r="J8" s="97">
        <v>2.23</v>
      </c>
      <c r="K8" s="97">
        <v>2.6949999999999998</v>
      </c>
      <c r="L8" s="97">
        <v>3.7</v>
      </c>
      <c r="M8" s="97">
        <v>1.175</v>
      </c>
      <c r="N8" s="97">
        <v>0.84099999999999997</v>
      </c>
      <c r="O8" s="50">
        <f t="shared" si="0"/>
        <v>40.853999999999999</v>
      </c>
      <c r="P8" s="51"/>
      <c r="Q8" s="75" t="s">
        <v>279</v>
      </c>
      <c r="R8">
        <v>400</v>
      </c>
      <c r="S8" t="s">
        <v>61</v>
      </c>
      <c r="U8">
        <f>R4*(R5*60/1000)*R8</f>
        <v>86400</v>
      </c>
    </row>
    <row r="9" spans="1:21">
      <c r="A9" s="48" t="s">
        <v>241</v>
      </c>
      <c r="B9" s="48" t="s">
        <v>189</v>
      </c>
      <c r="C9" s="87">
        <v>1</v>
      </c>
      <c r="D9" s="87">
        <v>1</v>
      </c>
      <c r="E9" s="87">
        <v>1.2</v>
      </c>
      <c r="F9" s="87">
        <v>4</v>
      </c>
      <c r="G9" s="87">
        <v>8</v>
      </c>
      <c r="H9" s="87">
        <v>25</v>
      </c>
      <c r="I9" s="87">
        <v>20</v>
      </c>
      <c r="J9" s="87">
        <v>11</v>
      </c>
      <c r="K9" s="87">
        <v>5.2</v>
      </c>
      <c r="L9" s="87">
        <v>3</v>
      </c>
      <c r="M9" s="87">
        <v>2</v>
      </c>
      <c r="N9" s="87">
        <v>1.5</v>
      </c>
      <c r="O9" s="50">
        <f t="shared" ref="O9" si="1">SUM(C9:N9)</f>
        <v>82.9</v>
      </c>
      <c r="P9" s="51"/>
      <c r="Q9" s="75" t="s">
        <v>282</v>
      </c>
    </row>
    <row r="10" spans="1:21">
      <c r="A10" s="48" t="s">
        <v>165</v>
      </c>
      <c r="B10" s="48" t="s">
        <v>189</v>
      </c>
      <c r="C10" s="97">
        <v>0.91200000000000003</v>
      </c>
      <c r="D10" s="97">
        <v>0.86599999999999999</v>
      </c>
      <c r="E10" s="97">
        <v>0.87</v>
      </c>
      <c r="F10" s="97">
        <v>4.2610000000000001</v>
      </c>
      <c r="G10" s="97">
        <v>14.821</v>
      </c>
      <c r="H10" s="97">
        <v>14.369</v>
      </c>
      <c r="I10" s="97">
        <v>12.286</v>
      </c>
      <c r="J10" s="97">
        <v>6.2140000000000004</v>
      </c>
      <c r="K10" s="97">
        <v>3.2519999999999998</v>
      </c>
      <c r="L10" s="97">
        <v>2.823</v>
      </c>
      <c r="M10" s="97">
        <v>2.2040000000000002</v>
      </c>
      <c r="N10" s="97">
        <v>1.2130000000000001</v>
      </c>
      <c r="O10" s="50">
        <f t="shared" si="0"/>
        <v>64.091000000000008</v>
      </c>
      <c r="P10" s="51"/>
      <c r="Q10" s="75" t="s">
        <v>279</v>
      </c>
    </row>
    <row r="11" spans="1:21">
      <c r="A11" s="48" t="s">
        <v>241</v>
      </c>
      <c r="B11" s="48" t="s">
        <v>278</v>
      </c>
      <c r="C11" s="97"/>
      <c r="D11" s="87">
        <v>1.2</v>
      </c>
      <c r="E11" s="87">
        <v>1.2</v>
      </c>
      <c r="F11" s="87">
        <v>4.5</v>
      </c>
      <c r="G11" s="87">
        <v>13.5</v>
      </c>
      <c r="H11" s="87">
        <v>16.5</v>
      </c>
      <c r="I11" s="87">
        <v>12</v>
      </c>
      <c r="J11" s="87">
        <v>8.5</v>
      </c>
      <c r="K11" s="87">
        <v>8</v>
      </c>
      <c r="L11" s="87">
        <v>6.5</v>
      </c>
      <c r="M11" s="87">
        <v>2</v>
      </c>
      <c r="N11" s="87">
        <v>2</v>
      </c>
      <c r="O11" s="50">
        <f t="shared" ref="O11" si="2">SUM(C11:N11)</f>
        <v>75.900000000000006</v>
      </c>
      <c r="P11" s="51"/>
      <c r="Q11" s="75" t="s">
        <v>283</v>
      </c>
    </row>
    <row r="12" spans="1:21">
      <c r="A12" s="48" t="s">
        <v>165</v>
      </c>
      <c r="B12" s="48" t="s">
        <v>278</v>
      </c>
      <c r="C12" s="97">
        <v>0.91200000000000003</v>
      </c>
      <c r="D12" s="97">
        <v>0.86599999999999999</v>
      </c>
      <c r="E12" s="97">
        <v>0.87</v>
      </c>
      <c r="F12" s="97">
        <v>4.2610000000000001</v>
      </c>
      <c r="G12" s="97">
        <v>6.125</v>
      </c>
      <c r="H12" s="97">
        <v>9.3680000000000003</v>
      </c>
      <c r="I12" s="97">
        <v>5.734</v>
      </c>
      <c r="J12" s="97">
        <v>1.998</v>
      </c>
      <c r="K12" s="97">
        <v>3.0259999999999998</v>
      </c>
      <c r="L12" s="97">
        <v>4.718</v>
      </c>
      <c r="M12" s="97">
        <v>0.98699999999999999</v>
      </c>
      <c r="N12" s="97">
        <v>0.74099999999999999</v>
      </c>
      <c r="O12" s="50">
        <f t="shared" si="0"/>
        <v>39.606000000000002</v>
      </c>
      <c r="P12" s="51"/>
      <c r="Q12" s="75" t="s">
        <v>280</v>
      </c>
    </row>
    <row r="13" spans="1:21">
      <c r="A13" s="48" t="s">
        <v>241</v>
      </c>
      <c r="B13" s="48" t="s">
        <v>64</v>
      </c>
      <c r="C13" s="97"/>
      <c r="D13" s="93">
        <f t="shared" ref="D13:F14" si="3">D9*1.05</f>
        <v>1.05</v>
      </c>
      <c r="E13" s="93">
        <f t="shared" si="3"/>
        <v>1.26</v>
      </c>
      <c r="F13" s="93">
        <f t="shared" si="3"/>
        <v>4.2</v>
      </c>
      <c r="G13" s="93">
        <f>G9*0.9-0.2</f>
        <v>7</v>
      </c>
      <c r="H13" s="93">
        <f>H9*0.9-0.4</f>
        <v>22.1</v>
      </c>
      <c r="I13" s="93">
        <f>I9*0.9-0.6</f>
        <v>17.399999999999999</v>
      </c>
      <c r="J13" s="93">
        <f>J9*0.9-0.8</f>
        <v>9.1</v>
      </c>
      <c r="K13" s="93">
        <f>K9*0.9-0.5</f>
        <v>4.1800000000000006</v>
      </c>
      <c r="L13" s="93">
        <f t="shared" ref="L13:L14" si="4">L9*0.9</f>
        <v>2.7</v>
      </c>
      <c r="M13" s="93">
        <f t="shared" ref="M13:N14" si="5">M9*1.05</f>
        <v>2.1</v>
      </c>
      <c r="N13" s="93">
        <f t="shared" si="5"/>
        <v>1.5750000000000002</v>
      </c>
      <c r="O13" s="50">
        <f t="shared" si="0"/>
        <v>72.665000000000006</v>
      </c>
      <c r="P13" s="51" t="s">
        <v>288</v>
      </c>
      <c r="Q13" s="75" t="s">
        <v>284</v>
      </c>
    </row>
    <row r="14" spans="1:21">
      <c r="A14" s="48" t="s">
        <v>165</v>
      </c>
      <c r="B14" s="48" t="s">
        <v>64</v>
      </c>
      <c r="C14" s="93">
        <f>C10*1.05</f>
        <v>0.95760000000000012</v>
      </c>
      <c r="D14" s="93">
        <f t="shared" si="3"/>
        <v>0.9093</v>
      </c>
      <c r="E14" s="93">
        <f t="shared" si="3"/>
        <v>0.91349999999999998</v>
      </c>
      <c r="F14" s="93">
        <f t="shared" si="3"/>
        <v>4.4740500000000001</v>
      </c>
      <c r="G14" s="146">
        <f>G10*0.9-0.2</f>
        <v>13.138900000000001</v>
      </c>
      <c r="H14" s="146">
        <f>H10*0.9-0.4</f>
        <v>12.5321</v>
      </c>
      <c r="I14" s="146">
        <f>I10*0.9-0.6</f>
        <v>10.4574</v>
      </c>
      <c r="J14" s="146">
        <f>J10*0.9-0.8</f>
        <v>4.7926000000000011</v>
      </c>
      <c r="K14" s="146">
        <f>K10*0.9-0.5</f>
        <v>2.4268000000000001</v>
      </c>
      <c r="L14" s="93">
        <f t="shared" si="4"/>
        <v>2.5407000000000002</v>
      </c>
      <c r="M14" s="93">
        <f t="shared" si="5"/>
        <v>2.3142000000000005</v>
      </c>
      <c r="N14" s="93">
        <f t="shared" si="5"/>
        <v>1.2736500000000002</v>
      </c>
      <c r="O14" s="50">
        <f t="shared" si="0"/>
        <v>56.730800000000002</v>
      </c>
      <c r="P14" s="51" t="s">
        <v>288</v>
      </c>
      <c r="Q14" s="75" t="s">
        <v>284</v>
      </c>
    </row>
    <row r="15" spans="1:21">
      <c r="A15" s="48" t="s">
        <v>241</v>
      </c>
      <c r="B15" s="48" t="s">
        <v>65</v>
      </c>
      <c r="C15" s="93"/>
      <c r="D15" s="93">
        <f t="shared" ref="D15:F16" si="6">D11*0.95</f>
        <v>1.1399999999999999</v>
      </c>
      <c r="E15" s="93">
        <f t="shared" si="6"/>
        <v>1.1399999999999999</v>
      </c>
      <c r="F15" s="93">
        <f t="shared" si="6"/>
        <v>4.2749999999999995</v>
      </c>
      <c r="G15" s="93">
        <f>G11*0.8-0.2</f>
        <v>10.600000000000001</v>
      </c>
      <c r="H15" s="93">
        <f>H11*0.8-0.4</f>
        <v>12.8</v>
      </c>
      <c r="I15" s="93">
        <f>I11*0.8-0.6</f>
        <v>9.0000000000000018</v>
      </c>
      <c r="J15" s="93">
        <f>J11*0.8-0.8</f>
        <v>6.0000000000000009</v>
      </c>
      <c r="K15" s="93">
        <f>K11*0.8-0.5</f>
        <v>5.9</v>
      </c>
      <c r="L15" s="93">
        <f t="shared" ref="L15:L16" si="7">L11*0.8</f>
        <v>5.2</v>
      </c>
      <c r="M15" s="93">
        <f t="shared" ref="M15:N16" si="8">M11*0.95</f>
        <v>1.9</v>
      </c>
      <c r="N15" s="93">
        <f t="shared" si="8"/>
        <v>1.9</v>
      </c>
      <c r="O15" s="50">
        <f t="shared" ref="O15" si="9">SUM(C15:N15)</f>
        <v>59.855000000000004</v>
      </c>
      <c r="P15" s="51" t="s">
        <v>287</v>
      </c>
      <c r="Q15" s="75" t="s">
        <v>264</v>
      </c>
    </row>
    <row r="16" spans="1:21">
      <c r="A16" s="48" t="s">
        <v>165</v>
      </c>
      <c r="B16" s="48" t="s">
        <v>65</v>
      </c>
      <c r="C16" s="93">
        <f>C12*0.9</f>
        <v>0.82080000000000009</v>
      </c>
      <c r="D16" s="93">
        <f t="shared" si="6"/>
        <v>0.82269999999999999</v>
      </c>
      <c r="E16" s="93">
        <f t="shared" si="6"/>
        <v>0.82650000000000001</v>
      </c>
      <c r="F16" s="93">
        <f t="shared" si="6"/>
        <v>4.0479500000000002</v>
      </c>
      <c r="G16" s="146">
        <f>G12*0.8-0.2</f>
        <v>4.7</v>
      </c>
      <c r="H16" s="146">
        <f>H12*0.8-0.4</f>
        <v>7.0944000000000003</v>
      </c>
      <c r="I16" s="146">
        <f>I12*0.8-0.6</f>
        <v>3.9872000000000001</v>
      </c>
      <c r="J16" s="146">
        <f>J12*0.8-1</f>
        <v>0.59840000000000004</v>
      </c>
      <c r="K16" s="146">
        <f>K12*0.8-0.5</f>
        <v>1.9207999999999998</v>
      </c>
      <c r="L16" s="93">
        <f t="shared" si="7"/>
        <v>3.7744</v>
      </c>
      <c r="M16" s="93">
        <f t="shared" si="8"/>
        <v>0.93764999999999998</v>
      </c>
      <c r="N16" s="93">
        <f t="shared" si="8"/>
        <v>0.70394999999999996</v>
      </c>
      <c r="O16" s="50">
        <f t="shared" ref="O16" si="10">SUM(C16:N16)</f>
        <v>30.234750000000005</v>
      </c>
      <c r="P16" s="51" t="s">
        <v>287</v>
      </c>
      <c r="Q16" s="75" t="s">
        <v>264</v>
      </c>
    </row>
    <row r="17" spans="1:18">
      <c r="A17" s="48"/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0"/>
      <c r="P17" s="51"/>
    </row>
    <row r="18" spans="1:18">
      <c r="A18" s="48" t="s">
        <v>254</v>
      </c>
      <c r="B18" s="48"/>
      <c r="C18" s="49">
        <f>('Zahlen MontanAqua'!Q28)/1000000</f>
        <v>0.38257920000000001</v>
      </c>
      <c r="D18" s="49">
        <f>C18</f>
        <v>0.38257920000000001</v>
      </c>
      <c r="E18" s="49">
        <f>C18</f>
        <v>0.38257920000000001</v>
      </c>
      <c r="F18" s="49">
        <f>C18</f>
        <v>0.38257920000000001</v>
      </c>
      <c r="G18" s="49">
        <f>C18</f>
        <v>0.38257920000000001</v>
      </c>
      <c r="H18" s="49">
        <f>C18</f>
        <v>0.38257920000000001</v>
      </c>
      <c r="I18" s="49">
        <f>C18</f>
        <v>0.38257920000000001</v>
      </c>
      <c r="J18" s="49">
        <f>C18</f>
        <v>0.38257920000000001</v>
      </c>
      <c r="K18" s="49">
        <f>C18</f>
        <v>0.38257920000000001</v>
      </c>
      <c r="L18" s="49">
        <f>C18</f>
        <v>0.38257920000000001</v>
      </c>
      <c r="M18" s="49">
        <f>C18</f>
        <v>0.38257920000000001</v>
      </c>
      <c r="N18" s="49">
        <f>C18</f>
        <v>0.38257920000000001</v>
      </c>
      <c r="O18" s="50">
        <f>SUM(C18:N18)</f>
        <v>4.5909503999999997</v>
      </c>
      <c r="P18" s="51"/>
    </row>
    <row r="19" spans="1:18">
      <c r="A19" s="48" t="s">
        <v>255</v>
      </c>
      <c r="B19" s="48"/>
      <c r="C19" s="49">
        <f>2*C18</f>
        <v>0.76515840000000002</v>
      </c>
      <c r="D19" s="49">
        <f t="shared" ref="D19:N19" si="11">2*D18</f>
        <v>0.76515840000000002</v>
      </c>
      <c r="E19" s="49">
        <f t="shared" si="11"/>
        <v>0.76515840000000002</v>
      </c>
      <c r="F19" s="49">
        <f t="shared" si="11"/>
        <v>0.76515840000000002</v>
      </c>
      <c r="G19" s="49">
        <f t="shared" si="11"/>
        <v>0.76515840000000002</v>
      </c>
      <c r="H19" s="49">
        <f t="shared" si="11"/>
        <v>0.76515840000000002</v>
      </c>
      <c r="I19" s="49">
        <f t="shared" si="11"/>
        <v>0.76515840000000002</v>
      </c>
      <c r="J19" s="49">
        <f t="shared" si="11"/>
        <v>0.76515840000000002</v>
      </c>
      <c r="K19" s="49">
        <f t="shared" si="11"/>
        <v>0.76515840000000002</v>
      </c>
      <c r="L19" s="49">
        <f t="shared" si="11"/>
        <v>0.76515840000000002</v>
      </c>
      <c r="M19" s="49">
        <f t="shared" si="11"/>
        <v>0.76515840000000002</v>
      </c>
      <c r="N19" s="49">
        <f t="shared" si="11"/>
        <v>0.76515840000000002</v>
      </c>
      <c r="O19" s="50">
        <f>SUM(C19:N19)</f>
        <v>9.1819007999999993</v>
      </c>
      <c r="P19" s="51"/>
      <c r="Q19" s="75" t="s">
        <v>305</v>
      </c>
      <c r="R19" s="86"/>
    </row>
    <row r="20" spans="1:18">
      <c r="A20" s="48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50"/>
      <c r="P20" s="51"/>
      <c r="R20" s="86"/>
    </row>
    <row r="21" spans="1:18" s="47" customFormat="1">
      <c r="A21" s="43" t="s">
        <v>66</v>
      </c>
      <c r="B21" s="43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3"/>
      <c r="P21" s="46"/>
      <c r="Q21" s="131"/>
      <c r="R21" s="86"/>
    </row>
    <row r="22" spans="1:18" s="47" customFormat="1">
      <c r="A22" s="43" t="s">
        <v>67</v>
      </c>
      <c r="B22" s="43"/>
      <c r="C22" s="43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3"/>
      <c r="P22" s="46"/>
      <c r="Q22" s="131"/>
      <c r="R22" s="86"/>
    </row>
    <row r="23" spans="1:18" s="47" customFormat="1">
      <c r="A23" s="48" t="s">
        <v>167</v>
      </c>
      <c r="B23" s="48" t="s">
        <v>127</v>
      </c>
      <c r="C23" s="54">
        <f>((B94*C94*31)+(C102*1000*0.15))/1000000</f>
        <v>0.34082000000000007</v>
      </c>
      <c r="D23" s="54">
        <f>((B94*C94*28)+(D102*1000*0.15))/1000000</f>
        <v>0.31353500000000006</v>
      </c>
      <c r="E23" s="54">
        <f>((B94*C94*31)+(E102*1000*0.15))/1000000</f>
        <v>0.33632000000000006</v>
      </c>
      <c r="F23" s="54">
        <f>((B94*C94*30)+(F102*1000*0.15))/1000000</f>
        <v>0.31447500000000006</v>
      </c>
      <c r="G23" s="54">
        <f>((B94*C94*31)+(G102*1000*0.15))/1000000</f>
        <v>0.32019500000000006</v>
      </c>
      <c r="H23" s="54">
        <f>((B94*E94*30)+(H102*1000*0.15))/1000000</f>
        <v>0.35325000000000001</v>
      </c>
      <c r="I23" s="54">
        <f>((B94*E94*31)+(I102*1000*0.15))/1000000</f>
        <v>0.36420000000000002</v>
      </c>
      <c r="J23" s="54">
        <f>((B94*E94*31)+(J102*1000*0.15))/1000000</f>
        <v>0.36345</v>
      </c>
      <c r="K23" s="54">
        <f>((B94*E94*30)+(K102*1000*0.15))/1000000</f>
        <v>0.34312500000000001</v>
      </c>
      <c r="L23" s="54">
        <f>((B94*C94*31)+(L102*1000*0.15))/1000000</f>
        <v>0.32169500000000006</v>
      </c>
      <c r="M23" s="54">
        <f>((B94*E94*30)+(M102*1000*0.15))/1000000</f>
        <v>0.33074999999999999</v>
      </c>
      <c r="N23" s="54">
        <f>((B94*E94*31)+(N102*1000*0.15))/1000000</f>
        <v>0.35670000000000002</v>
      </c>
      <c r="O23" s="50">
        <f t="shared" ref="O23" si="12">SUM(C23:N23)</f>
        <v>4.0585149999999999</v>
      </c>
      <c r="P23" s="46"/>
      <c r="Q23" s="75" t="s">
        <v>263</v>
      </c>
      <c r="R23" s="86"/>
    </row>
    <row r="24" spans="1:18" s="47" customFormat="1">
      <c r="A24" s="48" t="s">
        <v>68</v>
      </c>
      <c r="B24" s="48" t="s">
        <v>183</v>
      </c>
      <c r="C24" s="54">
        <f>((B95*C95*31)+(C102*1000*0.15))/1000000</f>
        <v>0.34082000000000007</v>
      </c>
      <c r="D24" s="54">
        <f>((B95*C95*28)+(D102*1000*0.15))/1000000</f>
        <v>0.31353500000000006</v>
      </c>
      <c r="E24" s="54">
        <f>((B95*C95*31)+(E102*1000*0.15))/1000000</f>
        <v>0.33632000000000006</v>
      </c>
      <c r="F24" s="54">
        <f>((B95*C95*30)+(F102*1000*0.15))/1000000</f>
        <v>0.31447500000000006</v>
      </c>
      <c r="G24" s="54">
        <f>((B95*C95*31)+(G102*1000*0.15))/1000000</f>
        <v>0.32019500000000006</v>
      </c>
      <c r="H24" s="54">
        <f>((B95*E95*30)+(H102*1000*0.15))/1000000</f>
        <v>0.3861</v>
      </c>
      <c r="I24" s="54">
        <f>((B95*E95*31)+(I102*1000*0.15))/1000000</f>
        <v>0.39814500000000003</v>
      </c>
      <c r="J24" s="54">
        <f>((B95*E95*31)+(J102*1000*0.15))/1000000</f>
        <v>0.397395</v>
      </c>
      <c r="K24" s="54">
        <f>((B95*E95*30)+(K102*1000*0.15))/1000000</f>
        <v>0.375975</v>
      </c>
      <c r="L24" s="54">
        <f>((B95*C95*31)+(L102*1000*0.15))/1000000</f>
        <v>0.32169500000000006</v>
      </c>
      <c r="M24" s="54">
        <f>((B95*E95*30)+(M102*1000*0.15))/1000000</f>
        <v>0.36359999999999998</v>
      </c>
      <c r="N24" s="54">
        <f>((B95*E95*31)+(N102*1000*0.15))/1000000</f>
        <v>0.39064500000000002</v>
      </c>
      <c r="O24" s="50">
        <f t="shared" ref="O24:O28" si="13">SUM(C24:N24)</f>
        <v>4.2588999999999997</v>
      </c>
      <c r="P24" s="46"/>
      <c r="Q24" s="75" t="s">
        <v>190</v>
      </c>
      <c r="R24" s="86"/>
    </row>
    <row r="25" spans="1:18" s="47" customFormat="1">
      <c r="A25" s="48" t="s">
        <v>68</v>
      </c>
      <c r="B25" s="48" t="s">
        <v>62</v>
      </c>
      <c r="C25" s="54">
        <f>((B96*C96*31)+(C102*1000*0.15))/1000000</f>
        <v>0.41527269999999999</v>
      </c>
      <c r="D25" s="54">
        <f>((B96*C96*28)+(D102*1000*0.15))/1000000</f>
        <v>0.38078260000000003</v>
      </c>
      <c r="E25" s="54">
        <f>((B96*C96*31)+(E102*1000*0.15))/1000000</f>
        <v>0.41077269999999999</v>
      </c>
      <c r="F25" s="54">
        <f>((B96*C96*30)+(F102*1000*0.15))/1000000</f>
        <v>0.38652599999999998</v>
      </c>
      <c r="G25" s="54">
        <f>((B96*C96*31)+(G102*1000*0.15))/1000000</f>
        <v>0.39464769999999999</v>
      </c>
      <c r="H25" s="54">
        <f>((B96*E96*30)+(H102*1000*0.15))/1000000</f>
        <v>0.43252800000000008</v>
      </c>
      <c r="I25" s="54">
        <f>((B96*E96*31)+(I102*1000*0.15))/1000000</f>
        <v>0.44612060000000009</v>
      </c>
      <c r="J25" s="54">
        <f>((B96*E96*31)+(J102*1000*0.15))/1000000</f>
        <v>0.44537060000000012</v>
      </c>
      <c r="K25" s="54">
        <f>((B96*E96*30)+(K102*1000*0.15))/1000000</f>
        <v>0.42240300000000008</v>
      </c>
      <c r="L25" s="54">
        <f>((B96*C96*31)+(L102*1000*0.15))/1000000</f>
        <v>0.39614769999999999</v>
      </c>
      <c r="M25" s="54">
        <f>((B96*E96*30)+(M102*1000*0.15))/1000000</f>
        <v>0.41002800000000006</v>
      </c>
      <c r="N25" s="54">
        <f>((B96*E96*31)+(N102*1000*0.15))/1000000</f>
        <v>0.43862060000000008</v>
      </c>
      <c r="O25" s="50">
        <f t="shared" si="13"/>
        <v>4.9792202000000003</v>
      </c>
      <c r="P25" s="46"/>
      <c r="Q25" s="131"/>
      <c r="R25" s="86"/>
    </row>
    <row r="26" spans="1:18" s="47" customFormat="1">
      <c r="A26" s="48" t="s">
        <v>68</v>
      </c>
      <c r="B26" s="48" t="s">
        <v>63</v>
      </c>
      <c r="C26" s="54">
        <f>((B97*C97*31)+(C102*1000*0.15))/1000000</f>
        <v>0.41527269999999999</v>
      </c>
      <c r="D26" s="54">
        <f>((B97*C97*28)+(D102*1000*0.15))/1000000</f>
        <v>0.38078260000000003</v>
      </c>
      <c r="E26" s="54">
        <f>((B97*C97*31)+(E102*1000*0.15))/1000000</f>
        <v>0.41077269999999999</v>
      </c>
      <c r="F26" s="54">
        <f>((B97*C97*30)+(F102*1000*0.15))/1000000</f>
        <v>0.38652599999999998</v>
      </c>
      <c r="G26" s="54">
        <f>((B97*C97*31)+(G102*1000*0.15))/1000000</f>
        <v>0.39464769999999999</v>
      </c>
      <c r="H26" s="54">
        <f>((B97*E97*30)+(H102*1000*0.15))/1000000</f>
        <v>0.47621849999999999</v>
      </c>
      <c r="I26" s="54">
        <f>((B97*E97*31)+(I102*1000*0.15))/1000000</f>
        <v>0.49126744999999999</v>
      </c>
      <c r="J26" s="54">
        <f>((B97*E97*31)+(J102*1000*0.15))/1000000</f>
        <v>0.49051745000000002</v>
      </c>
      <c r="K26" s="54">
        <f>((B97*E97*30)+(K102*1000*0.15))/1000000</f>
        <v>0.46609349999999999</v>
      </c>
      <c r="L26" s="54">
        <f>((B97*C97*31)+(L102*1000*0.15))/1000000</f>
        <v>0.39614769999999999</v>
      </c>
      <c r="M26" s="54">
        <f>((B97*E97*30)+(M102*1000*0.15))/1000000</f>
        <v>0.45371850000000002</v>
      </c>
      <c r="N26" s="54">
        <f>((B97*E97*31)+(N102*1000*0.15))/1000000</f>
        <v>0.48376744999999999</v>
      </c>
      <c r="O26" s="50">
        <f t="shared" si="13"/>
        <v>5.2457322499999997</v>
      </c>
      <c r="P26" s="46"/>
      <c r="Q26" s="131"/>
      <c r="R26" s="86"/>
    </row>
    <row r="27" spans="1:18" s="47" customFormat="1">
      <c r="A27" s="48" t="s">
        <v>68</v>
      </c>
      <c r="B27" s="48" t="s">
        <v>64</v>
      </c>
      <c r="C27" s="54">
        <f>((B98*C98*31)+(C102*1000*0.15))/1000000</f>
        <v>0.48434738050000009</v>
      </c>
      <c r="D27" s="54">
        <f>((B98*C98*28)+(D102*1000*0.15))/1000000</f>
        <v>0.44317263400000007</v>
      </c>
      <c r="E27" s="54">
        <f>((B98*C98*31)+(E102*1000*0.15))/1000000</f>
        <v>0.47984738050000009</v>
      </c>
      <c r="F27" s="54">
        <f>((B98*C98*30)+(F102*1000*0.15))/1000000</f>
        <v>0.45337246500000006</v>
      </c>
      <c r="G27" s="54">
        <f>((B98*C98*31)+(G102*1000*0.15))/1000000</f>
        <v>0.46372238050000009</v>
      </c>
      <c r="H27" s="54">
        <f>((B98*E98*30)+(H102*1000*0.15))/1000000</f>
        <v>0.5089863750000001</v>
      </c>
      <c r="I27" s="54">
        <f>((B98*E98*31)+(I102*1000*0.15))/1000000</f>
        <v>0.52512758749999999</v>
      </c>
      <c r="J27" s="54">
        <f>((B98*E98*31)+(J102*1000*0.15))/1000000</f>
        <v>0.52437758750000008</v>
      </c>
      <c r="K27" s="54">
        <f>((B98*E98*30)+(K102*1000*0.15))/1000000</f>
        <v>0.49886137500000005</v>
      </c>
      <c r="L27" s="54">
        <f>((B98*C98*31)+(L102*1000*0.15))/1000000</f>
        <v>0.46522238050000009</v>
      </c>
      <c r="M27" s="54">
        <f>((B98*E98*30)+(M102*1000*0.15))/1000000</f>
        <v>0.48648637500000008</v>
      </c>
      <c r="N27" s="54">
        <f>((B98*E98*31)+(N102*1000*0.15))/1000000</f>
        <v>0.51762758750000004</v>
      </c>
      <c r="O27" s="50">
        <f t="shared" si="13"/>
        <v>5.851151508500001</v>
      </c>
      <c r="P27" s="46"/>
      <c r="Q27" s="131"/>
      <c r="R27" s="86"/>
    </row>
    <row r="28" spans="1:18" s="47" customFormat="1">
      <c r="A28" s="48" t="s">
        <v>68</v>
      </c>
      <c r="B28" s="48" t="s">
        <v>65</v>
      </c>
      <c r="C28" s="54">
        <f>((B99*C99*31)+(C102*1000*0.15))/1000000</f>
        <v>0.48434738050000009</v>
      </c>
      <c r="D28" s="54">
        <f>((B99*C99*28)+(D102*1000*0.15))/1000000</f>
        <v>0.44317263400000007</v>
      </c>
      <c r="E28" s="54">
        <f>((B99*C99*31)+(E102*1000*0.15))/1000000</f>
        <v>0.47984738050000009</v>
      </c>
      <c r="F28" s="54">
        <f>((B99*C99*30)+(F102*1000*0.15))/1000000</f>
        <v>0.45337246500000006</v>
      </c>
      <c r="G28" s="54">
        <f>((B99*C99*31)+(G102*1000*0.15))/1000000</f>
        <v>0.46372238050000009</v>
      </c>
      <c r="H28" s="54">
        <f>((B99*E99*30)+(H102*1000*0.15))/1000000</f>
        <v>0.56709474000000015</v>
      </c>
      <c r="I28" s="54">
        <f>((B99*E99*31)+(I102*1000*0.15))/1000000</f>
        <v>0.58517289800000005</v>
      </c>
      <c r="J28" s="54">
        <f>((B99*E99*31)+(J102*1000*0.15))/1000000</f>
        <v>0.58442289800000002</v>
      </c>
      <c r="K28" s="54">
        <f>((B99*E99*30)+(K102*1000*0.15))/1000000</f>
        <v>0.5569697400000001</v>
      </c>
      <c r="L28" s="54">
        <f>((B99*C99*31)+(L102*1000*0.15))/1000000</f>
        <v>0.46522238050000009</v>
      </c>
      <c r="M28" s="54">
        <f>((B99*E99*30)+(M102*1000*0.15))/1000000</f>
        <v>0.54459474000000008</v>
      </c>
      <c r="N28" s="54">
        <f>((B99*E99*31)+(N102*1000*0.15))/1000000</f>
        <v>0.57767289799999999</v>
      </c>
      <c r="O28" s="50">
        <f t="shared" si="13"/>
        <v>6.205612535000002</v>
      </c>
      <c r="P28" s="46"/>
      <c r="Q28" s="131"/>
      <c r="R28" s="86"/>
    </row>
    <row r="29" spans="1:18" s="47" customFormat="1">
      <c r="A29" s="48"/>
      <c r="B29" s="48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3"/>
      <c r="P29" s="46"/>
      <c r="Q29" s="131"/>
      <c r="R29" s="86"/>
    </row>
    <row r="30" spans="1:18" s="47" customFormat="1">
      <c r="A30" s="43" t="s">
        <v>69</v>
      </c>
      <c r="B30" s="43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3"/>
      <c r="P30" s="46"/>
      <c r="Q30" s="131"/>
    </row>
    <row r="31" spans="1:18">
      <c r="A31" s="48" t="s">
        <v>68</v>
      </c>
      <c r="B31" s="48" t="s">
        <v>127</v>
      </c>
      <c r="C31" s="49">
        <v>0</v>
      </c>
      <c r="D31" s="49">
        <v>0</v>
      </c>
      <c r="E31" s="49">
        <v>0</v>
      </c>
      <c r="F31" s="49">
        <v>0.14000000000000001</v>
      </c>
      <c r="G31" s="49">
        <v>0.19</v>
      </c>
      <c r="H31" s="49">
        <v>0.31</v>
      </c>
      <c r="I31" s="49">
        <v>0.56000000000000005</v>
      </c>
      <c r="J31" s="49">
        <v>0.6</v>
      </c>
      <c r="K31" s="49">
        <v>0.46</v>
      </c>
      <c r="L31" s="49">
        <v>0.2</v>
      </c>
      <c r="M31" s="49">
        <v>0</v>
      </c>
      <c r="N31" s="49">
        <v>0</v>
      </c>
      <c r="O31" s="50">
        <f>SUM(C31:N31)</f>
        <v>2.4600000000000004</v>
      </c>
      <c r="P31" s="51"/>
      <c r="Q31" s="75" t="s">
        <v>126</v>
      </c>
    </row>
    <row r="32" spans="1:18">
      <c r="A32" s="48" t="s">
        <v>68</v>
      </c>
      <c r="B32" s="48" t="s">
        <v>183</v>
      </c>
      <c r="C32" s="49">
        <v>0</v>
      </c>
      <c r="D32" s="49">
        <v>0</v>
      </c>
      <c r="E32" s="49">
        <v>0.1</v>
      </c>
      <c r="F32" s="49">
        <f>0.395+0.1</f>
        <v>0.495</v>
      </c>
      <c r="G32" s="49">
        <f>0.314+0.1</f>
        <v>0.41400000000000003</v>
      </c>
      <c r="H32" s="49">
        <f>0.81+0.1</f>
        <v>0.91</v>
      </c>
      <c r="I32" s="49">
        <f>1.587+0.1</f>
        <v>1.6870000000000001</v>
      </c>
      <c r="J32" s="49">
        <f>1.681+0.1</f>
        <v>1.7810000000000001</v>
      </c>
      <c r="K32" s="49">
        <f>1.283+0.1</f>
        <v>1.383</v>
      </c>
      <c r="L32" s="49">
        <v>0.6</v>
      </c>
      <c r="M32" s="49">
        <v>0</v>
      </c>
      <c r="N32" s="49">
        <v>0</v>
      </c>
      <c r="O32" s="50">
        <f>SUM(C32:N32)</f>
        <v>7.37</v>
      </c>
      <c r="P32" s="55"/>
      <c r="Q32" s="75" t="s">
        <v>125</v>
      </c>
    </row>
    <row r="33" spans="1:17">
      <c r="A33" s="48" t="s">
        <v>68</v>
      </c>
      <c r="B33" s="48" t="s">
        <v>62</v>
      </c>
      <c r="C33" s="93">
        <f>C31*(1+P33)</f>
        <v>0</v>
      </c>
      <c r="D33" s="93">
        <f>D31*(1+P33)</f>
        <v>0</v>
      </c>
      <c r="E33" s="93">
        <f>E31*(1+P33)</f>
        <v>0</v>
      </c>
      <c r="F33" s="93">
        <f>F31*(1+P33)</f>
        <v>0.1855</v>
      </c>
      <c r="G33" s="93">
        <f>G31*(1+P33)</f>
        <v>0.25174999999999997</v>
      </c>
      <c r="H33" s="93">
        <f>H31*(1+P33)</f>
        <v>0.41075</v>
      </c>
      <c r="I33" s="93">
        <f>I31*(1+P33)</f>
        <v>0.74199999999999999</v>
      </c>
      <c r="J33" s="93">
        <f>J31*(1+P33)</f>
        <v>0.79499999999999993</v>
      </c>
      <c r="K33" s="93">
        <f>K31*(1+P33)</f>
        <v>0.60950000000000004</v>
      </c>
      <c r="L33" s="93">
        <f>L31*(1+P33)</f>
        <v>0.26500000000000001</v>
      </c>
      <c r="M33" s="93">
        <f>M31*(1+P33)</f>
        <v>0</v>
      </c>
      <c r="N33" s="93">
        <f>N31*(1+P33)</f>
        <v>0</v>
      </c>
      <c r="O33" s="50">
        <f t="shared" ref="O33:O36" si="14">SUM(C33:N33)</f>
        <v>3.2595000000000001</v>
      </c>
      <c r="P33" s="104">
        <v>0.32500000000000001</v>
      </c>
      <c r="Q33" s="75" t="s">
        <v>188</v>
      </c>
    </row>
    <row r="34" spans="1:17">
      <c r="A34" s="48" t="s">
        <v>68</v>
      </c>
      <c r="B34" s="48" t="s">
        <v>63</v>
      </c>
      <c r="C34" s="93">
        <f>C32*(1+P34)</f>
        <v>0</v>
      </c>
      <c r="D34" s="93">
        <f>D32*(1+P34)</f>
        <v>0</v>
      </c>
      <c r="E34" s="93">
        <f>E32*(1+P34)</f>
        <v>0.13250000000000001</v>
      </c>
      <c r="F34" s="93">
        <f>F32*(1+P34)</f>
        <v>0.65587499999999999</v>
      </c>
      <c r="G34" s="93">
        <f>G32*(1+P34)</f>
        <v>0.54854999999999998</v>
      </c>
      <c r="H34" s="93">
        <f>H32*(1+P34)</f>
        <v>1.2057500000000001</v>
      </c>
      <c r="I34" s="93">
        <f>I32*(1+P34)</f>
        <v>2.2352750000000001</v>
      </c>
      <c r="J34" s="93">
        <f>J32*(1+P34)</f>
        <v>2.3598250000000003</v>
      </c>
      <c r="K34" s="93">
        <f>K32*(1+P34)</f>
        <v>1.8324749999999999</v>
      </c>
      <c r="L34" s="93">
        <f>L32*(1+P34)</f>
        <v>0.79499999999999993</v>
      </c>
      <c r="M34" s="93">
        <f>M32*(1+P34)</f>
        <v>0</v>
      </c>
      <c r="N34" s="93">
        <f>N32*(1+P34)</f>
        <v>0</v>
      </c>
      <c r="O34" s="50">
        <f t="shared" si="14"/>
        <v>9.7652500000000018</v>
      </c>
      <c r="P34" s="104">
        <v>0.32500000000000001</v>
      </c>
      <c r="Q34" s="75" t="s">
        <v>188</v>
      </c>
    </row>
    <row r="35" spans="1:17">
      <c r="A35" s="48" t="s">
        <v>68</v>
      </c>
      <c r="B35" s="48" t="s">
        <v>64</v>
      </c>
      <c r="C35" s="93">
        <f t="shared" ref="C35:C36" si="15">C33*(1+P35)</f>
        <v>0</v>
      </c>
      <c r="D35" s="93">
        <f t="shared" ref="D35:D36" si="16">D33*(1+P35)</f>
        <v>0</v>
      </c>
      <c r="E35" s="93">
        <f t="shared" ref="E35:E36" si="17">E33*(1+P35)</f>
        <v>0</v>
      </c>
      <c r="F35" s="93">
        <f t="shared" ref="F35:F36" si="18">F33*(1+P35)</f>
        <v>0.27825</v>
      </c>
      <c r="G35" s="93">
        <f t="shared" ref="G35:G36" si="19">G33*(1+P35)</f>
        <v>0.37762499999999999</v>
      </c>
      <c r="H35" s="93">
        <f t="shared" ref="H35:H36" si="20">H33*(1+P35)</f>
        <v>0.61612500000000003</v>
      </c>
      <c r="I35" s="93">
        <f t="shared" ref="I35:I36" si="21">I33*(1+P35)</f>
        <v>1.113</v>
      </c>
      <c r="J35" s="93">
        <f t="shared" ref="J35:J36" si="22">J33*(1+P35)</f>
        <v>1.1924999999999999</v>
      </c>
      <c r="K35" s="93">
        <f t="shared" ref="K35:K36" si="23">K33*(1+P35)</f>
        <v>0.91425000000000001</v>
      </c>
      <c r="L35" s="93">
        <f t="shared" ref="L35:L36" si="24">L33*(1+P35)</f>
        <v>0.39750000000000002</v>
      </c>
      <c r="M35" s="93">
        <f t="shared" ref="M35:M36" si="25">M33*(1+P35)</f>
        <v>0</v>
      </c>
      <c r="N35" s="93">
        <f t="shared" ref="N35:N36" si="26">N33*(1+P35)</f>
        <v>0</v>
      </c>
      <c r="O35" s="50">
        <f t="shared" si="14"/>
        <v>4.8892499999999997</v>
      </c>
      <c r="P35" s="104">
        <v>0.5</v>
      </c>
    </row>
    <row r="36" spans="1:17">
      <c r="A36" s="48" t="s">
        <v>68</v>
      </c>
      <c r="B36" s="48" t="s">
        <v>65</v>
      </c>
      <c r="C36" s="93">
        <f t="shared" si="15"/>
        <v>0</v>
      </c>
      <c r="D36" s="93">
        <f t="shared" si="16"/>
        <v>0</v>
      </c>
      <c r="E36" s="93">
        <f t="shared" si="17"/>
        <v>0.19875000000000001</v>
      </c>
      <c r="F36" s="93">
        <f t="shared" si="18"/>
        <v>0.98381249999999998</v>
      </c>
      <c r="G36" s="93">
        <f t="shared" si="19"/>
        <v>0.82282499999999992</v>
      </c>
      <c r="H36" s="93">
        <f t="shared" si="20"/>
        <v>1.8086250000000001</v>
      </c>
      <c r="I36" s="93">
        <f t="shared" si="21"/>
        <v>3.3529125000000004</v>
      </c>
      <c r="J36" s="93">
        <f t="shared" si="22"/>
        <v>3.5397375000000002</v>
      </c>
      <c r="K36" s="93">
        <f t="shared" si="23"/>
        <v>2.7487124999999999</v>
      </c>
      <c r="L36" s="93">
        <f t="shared" si="24"/>
        <v>1.1924999999999999</v>
      </c>
      <c r="M36" s="93">
        <f t="shared" si="25"/>
        <v>0</v>
      </c>
      <c r="N36" s="93">
        <f t="shared" si="26"/>
        <v>0</v>
      </c>
      <c r="O36" s="50">
        <f t="shared" si="14"/>
        <v>14.647874999999999</v>
      </c>
      <c r="P36" s="104">
        <v>0.5</v>
      </c>
    </row>
    <row r="37" spans="1:17">
      <c r="A37" s="48"/>
      <c r="B37" s="48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50"/>
      <c r="P37" s="51"/>
    </row>
    <row r="38" spans="1:17" s="47" customFormat="1">
      <c r="A38" s="43" t="s">
        <v>70</v>
      </c>
      <c r="B38" s="43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3"/>
      <c r="P38" s="46"/>
      <c r="Q38" s="131"/>
    </row>
    <row r="39" spans="1:17" s="47" customFormat="1">
      <c r="A39" s="48" t="s">
        <v>167</v>
      </c>
      <c r="B39" s="48" t="s">
        <v>191</v>
      </c>
      <c r="C39" s="54">
        <f t="shared" ref="C39:N39" si="27">C23</f>
        <v>0.34082000000000007</v>
      </c>
      <c r="D39" s="54">
        <f t="shared" si="27"/>
        <v>0.31353500000000006</v>
      </c>
      <c r="E39" s="54">
        <f t="shared" si="27"/>
        <v>0.33632000000000006</v>
      </c>
      <c r="F39" s="54">
        <f t="shared" si="27"/>
        <v>0.31447500000000006</v>
      </c>
      <c r="G39" s="54">
        <f t="shared" si="27"/>
        <v>0.32019500000000006</v>
      </c>
      <c r="H39" s="54">
        <f t="shared" si="27"/>
        <v>0.35325000000000001</v>
      </c>
      <c r="I39" s="54">
        <f t="shared" si="27"/>
        <v>0.36420000000000002</v>
      </c>
      <c r="J39" s="54">
        <f t="shared" si="27"/>
        <v>0.36345</v>
      </c>
      <c r="K39" s="54">
        <f t="shared" si="27"/>
        <v>0.34312500000000001</v>
      </c>
      <c r="L39" s="54">
        <f t="shared" si="27"/>
        <v>0.32169500000000006</v>
      </c>
      <c r="M39" s="54">
        <f t="shared" si="27"/>
        <v>0.33074999999999999</v>
      </c>
      <c r="N39" s="54">
        <f t="shared" si="27"/>
        <v>0.35670000000000002</v>
      </c>
      <c r="O39" s="50">
        <f t="shared" ref="O39" si="28">SUM(C39:N39)</f>
        <v>4.0585149999999999</v>
      </c>
      <c r="P39" s="46"/>
      <c r="Q39" s="75" t="s">
        <v>126</v>
      </c>
    </row>
    <row r="40" spans="1:17" s="47" customFormat="1">
      <c r="A40" s="48" t="s">
        <v>68</v>
      </c>
      <c r="B40" s="48" t="s">
        <v>183</v>
      </c>
      <c r="C40" s="54">
        <f t="shared" ref="C40:N40" si="29">C24</f>
        <v>0.34082000000000007</v>
      </c>
      <c r="D40" s="54">
        <f t="shared" si="29"/>
        <v>0.31353500000000006</v>
      </c>
      <c r="E40" s="54">
        <f t="shared" si="29"/>
        <v>0.33632000000000006</v>
      </c>
      <c r="F40" s="54">
        <f t="shared" si="29"/>
        <v>0.31447500000000006</v>
      </c>
      <c r="G40" s="54">
        <f t="shared" si="29"/>
        <v>0.32019500000000006</v>
      </c>
      <c r="H40" s="54">
        <f t="shared" si="29"/>
        <v>0.3861</v>
      </c>
      <c r="I40" s="54">
        <f t="shared" si="29"/>
        <v>0.39814500000000003</v>
      </c>
      <c r="J40" s="54">
        <f t="shared" si="29"/>
        <v>0.397395</v>
      </c>
      <c r="K40" s="54">
        <f t="shared" si="29"/>
        <v>0.375975</v>
      </c>
      <c r="L40" s="54">
        <f t="shared" si="29"/>
        <v>0.32169500000000006</v>
      </c>
      <c r="M40" s="54">
        <f t="shared" si="29"/>
        <v>0.36359999999999998</v>
      </c>
      <c r="N40" s="54">
        <f t="shared" si="29"/>
        <v>0.39064500000000002</v>
      </c>
      <c r="O40" s="50">
        <f t="shared" ref="O40:O44" si="30">SUM(C40:N40)</f>
        <v>4.2588999999999997</v>
      </c>
      <c r="P40" s="46"/>
      <c r="Q40" s="131"/>
    </row>
    <row r="41" spans="1:17" s="47" customFormat="1">
      <c r="A41" s="48" t="s">
        <v>68</v>
      </c>
      <c r="B41" s="48" t="s">
        <v>62</v>
      </c>
      <c r="C41" s="54">
        <f t="shared" ref="C41:N41" si="31">C25</f>
        <v>0.41527269999999999</v>
      </c>
      <c r="D41" s="54">
        <f t="shared" si="31"/>
        <v>0.38078260000000003</v>
      </c>
      <c r="E41" s="54">
        <f t="shared" si="31"/>
        <v>0.41077269999999999</v>
      </c>
      <c r="F41" s="54">
        <f t="shared" si="31"/>
        <v>0.38652599999999998</v>
      </c>
      <c r="G41" s="54">
        <f t="shared" si="31"/>
        <v>0.39464769999999999</v>
      </c>
      <c r="H41" s="54">
        <f t="shared" si="31"/>
        <v>0.43252800000000008</v>
      </c>
      <c r="I41" s="54">
        <f t="shared" si="31"/>
        <v>0.44612060000000009</v>
      </c>
      <c r="J41" s="54">
        <f t="shared" si="31"/>
        <v>0.44537060000000012</v>
      </c>
      <c r="K41" s="54">
        <f t="shared" si="31"/>
        <v>0.42240300000000008</v>
      </c>
      <c r="L41" s="54">
        <f t="shared" si="31"/>
        <v>0.39614769999999999</v>
      </c>
      <c r="M41" s="54">
        <f t="shared" si="31"/>
        <v>0.41002800000000006</v>
      </c>
      <c r="N41" s="54">
        <f t="shared" si="31"/>
        <v>0.43862060000000008</v>
      </c>
      <c r="O41" s="50">
        <f t="shared" si="30"/>
        <v>4.9792202000000003</v>
      </c>
      <c r="P41" s="46"/>
      <c r="Q41" s="131"/>
    </row>
    <row r="42" spans="1:17" s="47" customFormat="1">
      <c r="A42" s="48" t="s">
        <v>68</v>
      </c>
      <c r="B42" s="48" t="s">
        <v>63</v>
      </c>
      <c r="C42" s="54">
        <f t="shared" ref="C42:N42" si="32">C26</f>
        <v>0.41527269999999999</v>
      </c>
      <c r="D42" s="54">
        <f t="shared" si="32"/>
        <v>0.38078260000000003</v>
      </c>
      <c r="E42" s="54">
        <f t="shared" si="32"/>
        <v>0.41077269999999999</v>
      </c>
      <c r="F42" s="54">
        <f t="shared" si="32"/>
        <v>0.38652599999999998</v>
      </c>
      <c r="G42" s="54">
        <f t="shared" si="32"/>
        <v>0.39464769999999999</v>
      </c>
      <c r="H42" s="54">
        <f t="shared" si="32"/>
        <v>0.47621849999999999</v>
      </c>
      <c r="I42" s="54">
        <f t="shared" si="32"/>
        <v>0.49126744999999999</v>
      </c>
      <c r="J42" s="54">
        <f t="shared" si="32"/>
        <v>0.49051745000000002</v>
      </c>
      <c r="K42" s="54">
        <f t="shared" si="32"/>
        <v>0.46609349999999999</v>
      </c>
      <c r="L42" s="54">
        <f t="shared" si="32"/>
        <v>0.39614769999999999</v>
      </c>
      <c r="M42" s="54">
        <f t="shared" si="32"/>
        <v>0.45371850000000002</v>
      </c>
      <c r="N42" s="54">
        <f t="shared" si="32"/>
        <v>0.48376744999999999</v>
      </c>
      <c r="O42" s="50">
        <f t="shared" si="30"/>
        <v>5.2457322499999997</v>
      </c>
      <c r="P42" s="46"/>
      <c r="Q42" s="131"/>
    </row>
    <row r="43" spans="1:17" s="47" customFormat="1">
      <c r="A43" s="48" t="s">
        <v>68</v>
      </c>
      <c r="B43" s="48" t="s">
        <v>64</v>
      </c>
      <c r="C43" s="54">
        <f t="shared" ref="C43:N43" si="33">C27</f>
        <v>0.48434738050000009</v>
      </c>
      <c r="D43" s="54">
        <f t="shared" si="33"/>
        <v>0.44317263400000007</v>
      </c>
      <c r="E43" s="54">
        <f t="shared" si="33"/>
        <v>0.47984738050000009</v>
      </c>
      <c r="F43" s="54">
        <f t="shared" si="33"/>
        <v>0.45337246500000006</v>
      </c>
      <c r="G43" s="54">
        <f t="shared" si="33"/>
        <v>0.46372238050000009</v>
      </c>
      <c r="H43" s="54">
        <f t="shared" si="33"/>
        <v>0.5089863750000001</v>
      </c>
      <c r="I43" s="54">
        <f t="shared" si="33"/>
        <v>0.52512758749999999</v>
      </c>
      <c r="J43" s="54">
        <f t="shared" si="33"/>
        <v>0.52437758750000008</v>
      </c>
      <c r="K43" s="54">
        <f t="shared" si="33"/>
        <v>0.49886137500000005</v>
      </c>
      <c r="L43" s="54">
        <f t="shared" si="33"/>
        <v>0.46522238050000009</v>
      </c>
      <c r="M43" s="54">
        <f t="shared" si="33"/>
        <v>0.48648637500000008</v>
      </c>
      <c r="N43" s="54">
        <f t="shared" si="33"/>
        <v>0.51762758750000004</v>
      </c>
      <c r="O43" s="50">
        <f t="shared" si="30"/>
        <v>5.851151508500001</v>
      </c>
      <c r="P43" s="46"/>
      <c r="Q43" s="131"/>
    </row>
    <row r="44" spans="1:17" s="47" customFormat="1">
      <c r="A44" s="48" t="s">
        <v>68</v>
      </c>
      <c r="B44" s="48" t="s">
        <v>65</v>
      </c>
      <c r="C44" s="54">
        <f t="shared" ref="C44:N44" si="34">C28</f>
        <v>0.48434738050000009</v>
      </c>
      <c r="D44" s="54">
        <f t="shared" si="34"/>
        <v>0.44317263400000007</v>
      </c>
      <c r="E44" s="54">
        <f t="shared" si="34"/>
        <v>0.47984738050000009</v>
      </c>
      <c r="F44" s="54">
        <f t="shared" si="34"/>
        <v>0.45337246500000006</v>
      </c>
      <c r="G44" s="54">
        <f t="shared" si="34"/>
        <v>0.46372238050000009</v>
      </c>
      <c r="H44" s="54">
        <f t="shared" si="34"/>
        <v>0.56709474000000015</v>
      </c>
      <c r="I44" s="54">
        <f t="shared" si="34"/>
        <v>0.58517289800000005</v>
      </c>
      <c r="J44" s="54">
        <f t="shared" si="34"/>
        <v>0.58442289800000002</v>
      </c>
      <c r="K44" s="54">
        <f t="shared" si="34"/>
        <v>0.5569697400000001</v>
      </c>
      <c r="L44" s="54">
        <f t="shared" si="34"/>
        <v>0.46522238050000009</v>
      </c>
      <c r="M44" s="54">
        <f t="shared" si="34"/>
        <v>0.54459474000000008</v>
      </c>
      <c r="N44" s="54">
        <f t="shared" si="34"/>
        <v>0.57767289799999999</v>
      </c>
      <c r="O44" s="50">
        <f t="shared" si="30"/>
        <v>6.205612535000002</v>
      </c>
      <c r="P44" s="46"/>
      <c r="Q44" s="131"/>
    </row>
    <row r="45" spans="1:17" s="47" customFormat="1">
      <c r="A45" s="48"/>
      <c r="B45" s="48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0"/>
      <c r="P45" s="46"/>
      <c r="Q45" s="131"/>
    </row>
    <row r="46" spans="1:17" s="47" customFormat="1">
      <c r="A46" s="48" t="s">
        <v>71</v>
      </c>
      <c r="B46" s="48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3"/>
      <c r="P46" s="46"/>
      <c r="Q46" s="131"/>
    </row>
    <row r="47" spans="1:17" s="47" customFormat="1">
      <c r="A47" s="48"/>
      <c r="B47" s="48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3"/>
      <c r="P47" s="46"/>
      <c r="Q47" s="131"/>
    </row>
    <row r="48" spans="1:17" s="47" customFormat="1">
      <c r="A48" s="43" t="s">
        <v>72</v>
      </c>
      <c r="B48" s="43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3"/>
      <c r="P48" s="46"/>
      <c r="Q48" s="131"/>
    </row>
    <row r="49" spans="1:17" s="47" customFormat="1">
      <c r="A49" s="48" t="s">
        <v>68</v>
      </c>
      <c r="B49" s="48" t="s">
        <v>191</v>
      </c>
      <c r="C49" s="52">
        <f t="shared" ref="C49:N49" si="35">C19+C23+C31+C39</f>
        <v>1.4467984000000003</v>
      </c>
      <c r="D49" s="52">
        <f t="shared" si="35"/>
        <v>1.3922284000000003</v>
      </c>
      <c r="E49" s="52">
        <f t="shared" si="35"/>
        <v>1.4377984000000001</v>
      </c>
      <c r="F49" s="52">
        <f t="shared" si="35"/>
        <v>1.5341084000000003</v>
      </c>
      <c r="G49" s="52">
        <f t="shared" si="35"/>
        <v>1.5955484</v>
      </c>
      <c r="H49" s="52">
        <f t="shared" si="35"/>
        <v>1.7816584000000002</v>
      </c>
      <c r="I49" s="52">
        <f t="shared" si="35"/>
        <v>2.0535584</v>
      </c>
      <c r="J49" s="52">
        <f t="shared" si="35"/>
        <v>2.0920584</v>
      </c>
      <c r="K49" s="52">
        <f t="shared" si="35"/>
        <v>1.9114084</v>
      </c>
      <c r="L49" s="52">
        <f t="shared" si="35"/>
        <v>1.6085484000000001</v>
      </c>
      <c r="M49" s="52">
        <f t="shared" si="35"/>
        <v>1.4266584</v>
      </c>
      <c r="N49" s="52">
        <f t="shared" si="35"/>
        <v>1.4785584000000001</v>
      </c>
      <c r="O49" s="53">
        <f t="shared" ref="O49:O54" si="36">SUM(C49:N49)</f>
        <v>19.758930800000002</v>
      </c>
      <c r="P49" s="46"/>
    </row>
    <row r="50" spans="1:17" s="47" customFormat="1">
      <c r="A50" s="48" t="s">
        <v>68</v>
      </c>
      <c r="B50" s="48" t="s">
        <v>262</v>
      </c>
      <c r="C50" s="52">
        <f t="shared" ref="C50:N50" si="37">C19+C24+C32+C40</f>
        <v>1.4467984000000003</v>
      </c>
      <c r="D50" s="52">
        <f t="shared" si="37"/>
        <v>1.3922284000000003</v>
      </c>
      <c r="E50" s="52">
        <f t="shared" si="37"/>
        <v>1.5377984000000002</v>
      </c>
      <c r="F50" s="52">
        <f t="shared" si="37"/>
        <v>1.8891084000000002</v>
      </c>
      <c r="G50" s="52">
        <f t="shared" si="37"/>
        <v>1.8195484</v>
      </c>
      <c r="H50" s="52">
        <f t="shared" si="37"/>
        <v>2.4473584000000002</v>
      </c>
      <c r="I50" s="52">
        <f t="shared" si="37"/>
        <v>3.2484484</v>
      </c>
      <c r="J50" s="52">
        <f t="shared" si="37"/>
        <v>3.3409483999999998</v>
      </c>
      <c r="K50" s="52">
        <f t="shared" si="37"/>
        <v>2.9001084000000001</v>
      </c>
      <c r="L50" s="52">
        <f t="shared" si="37"/>
        <v>2.0085484</v>
      </c>
      <c r="M50" s="52">
        <f t="shared" si="37"/>
        <v>1.4923583999999999</v>
      </c>
      <c r="N50" s="52">
        <f t="shared" si="37"/>
        <v>1.5464484000000001</v>
      </c>
      <c r="O50" s="53">
        <f t="shared" si="36"/>
        <v>25.0697008</v>
      </c>
      <c r="P50" s="46"/>
    </row>
    <row r="51" spans="1:17" s="47" customFormat="1">
      <c r="A51" s="48" t="s">
        <v>68</v>
      </c>
      <c r="B51" s="48" t="s">
        <v>73</v>
      </c>
      <c r="C51" s="52">
        <f t="shared" ref="C51:N51" si="38">C19+C25+C33+C41</f>
        <v>1.5957038000000001</v>
      </c>
      <c r="D51" s="52">
        <f t="shared" si="38"/>
        <v>1.5267236000000002</v>
      </c>
      <c r="E51" s="52">
        <f t="shared" si="38"/>
        <v>1.5867038</v>
      </c>
      <c r="F51" s="52">
        <f t="shared" si="38"/>
        <v>1.7237103999999999</v>
      </c>
      <c r="G51" s="52">
        <f t="shared" si="38"/>
        <v>1.8062037999999998</v>
      </c>
      <c r="H51" s="52">
        <f t="shared" si="38"/>
        <v>2.0409644</v>
      </c>
      <c r="I51" s="52">
        <f t="shared" si="38"/>
        <v>2.3993996000000002</v>
      </c>
      <c r="J51" s="52">
        <f t="shared" si="38"/>
        <v>2.4508996000000001</v>
      </c>
      <c r="K51" s="52">
        <f t="shared" si="38"/>
        <v>2.2194644000000001</v>
      </c>
      <c r="L51" s="52">
        <f t="shared" si="38"/>
        <v>1.8224538000000001</v>
      </c>
      <c r="M51" s="52">
        <f t="shared" si="38"/>
        <v>1.5852144000000001</v>
      </c>
      <c r="N51" s="52">
        <f t="shared" si="38"/>
        <v>1.6423996000000003</v>
      </c>
      <c r="O51" s="53">
        <f t="shared" si="36"/>
        <v>22.399841200000004</v>
      </c>
      <c r="P51" s="46"/>
    </row>
    <row r="52" spans="1:17" s="47" customFormat="1">
      <c r="A52" s="48" t="s">
        <v>68</v>
      </c>
      <c r="B52" s="48" t="s">
        <v>74</v>
      </c>
      <c r="C52" s="52">
        <f t="shared" ref="C52:M52" si="39">C19+C26+C34+C42</f>
        <v>1.5957038000000001</v>
      </c>
      <c r="D52" s="52">
        <f t="shared" si="39"/>
        <v>1.5267236000000002</v>
      </c>
      <c r="E52" s="52">
        <f t="shared" si="39"/>
        <v>1.7192038000000003</v>
      </c>
      <c r="F52" s="52">
        <f t="shared" si="39"/>
        <v>2.1940854000000001</v>
      </c>
      <c r="G52" s="52">
        <f t="shared" si="39"/>
        <v>2.1030038000000002</v>
      </c>
      <c r="H52" s="52">
        <f t="shared" si="39"/>
        <v>2.9233454000000001</v>
      </c>
      <c r="I52" s="52">
        <f t="shared" si="39"/>
        <v>3.9829683</v>
      </c>
      <c r="J52" s="52">
        <f t="shared" si="39"/>
        <v>4.1060183000000006</v>
      </c>
      <c r="K52" s="52">
        <f t="shared" si="39"/>
        <v>3.5298203999999997</v>
      </c>
      <c r="L52" s="52">
        <f t="shared" si="39"/>
        <v>2.3524538000000002</v>
      </c>
      <c r="M52" s="52">
        <f t="shared" si="39"/>
        <v>1.6725954000000001</v>
      </c>
      <c r="N52" s="52">
        <f>N19+N26+N34+N42</f>
        <v>1.7326933</v>
      </c>
      <c r="O52" s="53">
        <f t="shared" si="36"/>
        <v>29.438615300000002</v>
      </c>
      <c r="P52" s="46"/>
    </row>
    <row r="53" spans="1:17" s="47" customFormat="1">
      <c r="A53" s="48" t="s">
        <v>68</v>
      </c>
      <c r="B53" s="48" t="s">
        <v>75</v>
      </c>
      <c r="C53" s="52">
        <f t="shared" ref="C53:N53" si="40">C19+C27+C35+C43</f>
        <v>1.7338531610000001</v>
      </c>
      <c r="D53" s="52">
        <f t="shared" si="40"/>
        <v>1.6515036680000001</v>
      </c>
      <c r="E53" s="52">
        <f t="shared" si="40"/>
        <v>1.7248531610000002</v>
      </c>
      <c r="F53" s="52">
        <f t="shared" si="40"/>
        <v>1.95015333</v>
      </c>
      <c r="G53" s="52">
        <f t="shared" si="40"/>
        <v>2.0702281610000002</v>
      </c>
      <c r="H53" s="52">
        <f t="shared" si="40"/>
        <v>2.3992561500000003</v>
      </c>
      <c r="I53" s="52">
        <f t="shared" si="40"/>
        <v>2.928413575</v>
      </c>
      <c r="J53" s="52">
        <f t="shared" si="40"/>
        <v>3.0064135749999998</v>
      </c>
      <c r="K53" s="52">
        <f t="shared" si="40"/>
        <v>2.6771311500000001</v>
      </c>
      <c r="L53" s="52">
        <f t="shared" si="40"/>
        <v>2.0931031610000002</v>
      </c>
      <c r="M53" s="52">
        <f t="shared" si="40"/>
        <v>1.7381311500000003</v>
      </c>
      <c r="N53" s="52">
        <f t="shared" si="40"/>
        <v>1.8004135750000001</v>
      </c>
      <c r="O53" s="53">
        <f t="shared" si="36"/>
        <v>25.773453817000004</v>
      </c>
      <c r="P53" s="46"/>
    </row>
    <row r="54" spans="1:17" s="47" customFormat="1">
      <c r="A54" s="48" t="s">
        <v>68</v>
      </c>
      <c r="B54" s="48" t="s">
        <v>76</v>
      </c>
      <c r="C54" s="52">
        <f t="shared" ref="C54:N54" si="41">C19+C28+C36+C44</f>
        <v>1.7338531610000001</v>
      </c>
      <c r="D54" s="52">
        <f t="shared" si="41"/>
        <v>1.6515036680000001</v>
      </c>
      <c r="E54" s="52">
        <f t="shared" si="41"/>
        <v>1.9236031610000002</v>
      </c>
      <c r="F54" s="52">
        <f t="shared" si="41"/>
        <v>2.6557158300000001</v>
      </c>
      <c r="G54" s="52">
        <f t="shared" si="41"/>
        <v>2.515428161</v>
      </c>
      <c r="H54" s="52">
        <f t="shared" si="41"/>
        <v>3.7079728800000007</v>
      </c>
      <c r="I54" s="52">
        <f t="shared" si="41"/>
        <v>5.2884166960000005</v>
      </c>
      <c r="J54" s="52">
        <f t="shared" si="41"/>
        <v>5.4737416959999994</v>
      </c>
      <c r="K54" s="52">
        <f t="shared" si="41"/>
        <v>4.6278103800000006</v>
      </c>
      <c r="L54" s="52">
        <f t="shared" si="41"/>
        <v>2.8881031610000001</v>
      </c>
      <c r="M54" s="52">
        <f t="shared" si="41"/>
        <v>1.8543478800000002</v>
      </c>
      <c r="N54" s="52">
        <f t="shared" si="41"/>
        <v>1.920504196</v>
      </c>
      <c r="O54" s="53">
        <f t="shared" si="36"/>
        <v>36.241000869999993</v>
      </c>
      <c r="P54" s="46"/>
    </row>
    <row r="55" spans="1:17" s="47" customFormat="1">
      <c r="A55" s="48"/>
      <c r="B55" s="48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3"/>
      <c r="P55" s="46"/>
      <c r="Q55" s="131"/>
    </row>
    <row r="56" spans="1:17" s="47" customFormat="1">
      <c r="A56" s="43" t="s">
        <v>77</v>
      </c>
      <c r="B56" s="4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3"/>
      <c r="P56" s="46"/>
      <c r="Q56" s="131"/>
    </row>
    <row r="57" spans="1:17">
      <c r="A57" s="48"/>
      <c r="B57" s="48" t="s">
        <v>191</v>
      </c>
      <c r="C57" s="56">
        <f>C5+C6-C49</f>
        <v>0.38920159999999959</v>
      </c>
      <c r="D57" s="56">
        <f t="shared" ref="D57:N57" si="42">D5+D6-D49</f>
        <v>0.25477159999999976</v>
      </c>
      <c r="E57" s="56">
        <f t="shared" si="42"/>
        <v>0.49320159999999991</v>
      </c>
      <c r="F57" s="56">
        <f t="shared" si="42"/>
        <v>7.0428915999999999</v>
      </c>
      <c r="G57" s="56">
        <f t="shared" si="42"/>
        <v>19.491451600000001</v>
      </c>
      <c r="H57" s="56">
        <f t="shared" si="42"/>
        <v>37.244341599999998</v>
      </c>
      <c r="I57" s="56">
        <f t="shared" si="42"/>
        <v>31.2084416</v>
      </c>
      <c r="J57" s="56">
        <f t="shared" si="42"/>
        <v>15.9799416</v>
      </c>
      <c r="K57" s="56">
        <f t="shared" si="42"/>
        <v>6.3925916000000003</v>
      </c>
      <c r="L57" s="56">
        <f t="shared" si="42"/>
        <v>4.0914516000000001</v>
      </c>
      <c r="M57" s="56">
        <f t="shared" si="42"/>
        <v>2.9023416000000006</v>
      </c>
      <c r="N57" s="56">
        <f t="shared" si="42"/>
        <v>1.3154416</v>
      </c>
      <c r="O57" s="50"/>
      <c r="P57" s="51"/>
      <c r="Q57" s="132" t="s">
        <v>304</v>
      </c>
    </row>
    <row r="58" spans="1:17">
      <c r="A58" s="48"/>
      <c r="B58" s="48" t="s">
        <v>183</v>
      </c>
      <c r="C58" s="56">
        <f>C7+C8-C50</f>
        <v>0.68120159999999985</v>
      </c>
      <c r="D58" s="56">
        <f t="shared" ref="D58:N58" si="43">D7+D8-D50</f>
        <v>0.55877159999999981</v>
      </c>
      <c r="E58" s="56">
        <f t="shared" si="43"/>
        <v>0.48720159999999968</v>
      </c>
      <c r="F58" s="56">
        <f t="shared" si="43"/>
        <v>9.2148915999999996</v>
      </c>
      <c r="G58" s="56">
        <f t="shared" si="43"/>
        <v>17.706451600000001</v>
      </c>
      <c r="H58" s="56">
        <f t="shared" si="43"/>
        <v>22.665641600000001</v>
      </c>
      <c r="I58" s="56">
        <f t="shared" si="43"/>
        <v>15.017551599999997</v>
      </c>
      <c r="J58" s="56">
        <f t="shared" si="43"/>
        <v>7.3890516000000002</v>
      </c>
      <c r="K58" s="56">
        <f t="shared" si="43"/>
        <v>7.7948915999999997</v>
      </c>
      <c r="L58" s="56">
        <f t="shared" si="43"/>
        <v>8.1914515999999988</v>
      </c>
      <c r="M58" s="56">
        <f t="shared" si="43"/>
        <v>1.6826416</v>
      </c>
      <c r="N58" s="56">
        <f t="shared" si="43"/>
        <v>1.2945516000000001</v>
      </c>
      <c r="O58" s="50"/>
      <c r="P58" s="51"/>
      <c r="Q58" s="132" t="s">
        <v>304</v>
      </c>
    </row>
    <row r="59" spans="1:17">
      <c r="A59" s="48"/>
      <c r="B59" s="48" t="s">
        <v>62</v>
      </c>
      <c r="C59" s="56">
        <f>C9+C10-C51</f>
        <v>0.31629619999999981</v>
      </c>
      <c r="D59" s="56">
        <f t="shared" ref="D59:N59" si="44">D9+D10-D51</f>
        <v>0.33927639999999992</v>
      </c>
      <c r="E59" s="56">
        <f t="shared" si="44"/>
        <v>0.48329619999999984</v>
      </c>
      <c r="F59" s="56">
        <f t="shared" si="44"/>
        <v>6.5372895999999994</v>
      </c>
      <c r="G59" s="56">
        <f t="shared" si="44"/>
        <v>21.014796199999999</v>
      </c>
      <c r="H59" s="56">
        <f t="shared" si="44"/>
        <v>37.3280356</v>
      </c>
      <c r="I59" s="56">
        <f t="shared" si="44"/>
        <v>29.886600400000003</v>
      </c>
      <c r="J59" s="56">
        <f t="shared" si="44"/>
        <v>14.763100399999999</v>
      </c>
      <c r="K59" s="56">
        <f t="shared" si="44"/>
        <v>6.2325356000000003</v>
      </c>
      <c r="L59" s="56">
        <f t="shared" si="44"/>
        <v>4.0005462000000005</v>
      </c>
      <c r="M59" s="56">
        <f t="shared" si="44"/>
        <v>2.6187856000000007</v>
      </c>
      <c r="N59" s="56">
        <f t="shared" si="44"/>
        <v>1.0706003999999998</v>
      </c>
      <c r="O59" s="50"/>
      <c r="P59" s="51"/>
      <c r="Q59" s="132" t="s">
        <v>304</v>
      </c>
    </row>
    <row r="60" spans="1:17">
      <c r="A60" s="48"/>
      <c r="B60" s="48" t="s">
        <v>63</v>
      </c>
      <c r="C60" s="56">
        <f>C11+C12-C52</f>
        <v>-0.68370380000000008</v>
      </c>
      <c r="D60" s="56">
        <f t="shared" ref="D60:N60" si="45">D11+D12-D52</f>
        <v>0.53927639999999966</v>
      </c>
      <c r="E60" s="56">
        <f t="shared" si="45"/>
        <v>0.35079619999999956</v>
      </c>
      <c r="F60" s="56">
        <f t="shared" si="45"/>
        <v>6.5669145999999987</v>
      </c>
      <c r="G60" s="56">
        <f t="shared" si="45"/>
        <v>17.5219962</v>
      </c>
      <c r="H60" s="56">
        <f t="shared" si="45"/>
        <v>22.944654600000003</v>
      </c>
      <c r="I60" s="56">
        <f t="shared" si="45"/>
        <v>13.751031700000002</v>
      </c>
      <c r="J60" s="56">
        <f t="shared" si="45"/>
        <v>6.3919816999999988</v>
      </c>
      <c r="K60" s="56">
        <f t="shared" si="45"/>
        <v>7.4961795999999996</v>
      </c>
      <c r="L60" s="56">
        <f t="shared" si="45"/>
        <v>8.8655462000000007</v>
      </c>
      <c r="M60" s="56">
        <f t="shared" si="45"/>
        <v>1.3144046</v>
      </c>
      <c r="N60" s="56">
        <f t="shared" si="45"/>
        <v>1.0083067000000001</v>
      </c>
      <c r="O60" s="50"/>
      <c r="P60" s="51"/>
      <c r="Q60" s="132" t="s">
        <v>304</v>
      </c>
    </row>
    <row r="61" spans="1:17">
      <c r="A61" s="48"/>
      <c r="B61" s="48" t="s">
        <v>64</v>
      </c>
      <c r="C61" s="56">
        <f>C13+C14-C53</f>
        <v>-0.77625316099999997</v>
      </c>
      <c r="D61" s="56">
        <f t="shared" ref="D61:N61" si="46">D13+D14-D53</f>
        <v>0.30779633199999989</v>
      </c>
      <c r="E61" s="56">
        <f t="shared" si="46"/>
        <v>0.44864683899999958</v>
      </c>
      <c r="F61" s="56">
        <f t="shared" si="46"/>
        <v>6.7238966700000011</v>
      </c>
      <c r="G61" s="56">
        <f t="shared" si="46"/>
        <v>18.068671839</v>
      </c>
      <c r="H61" s="56">
        <f t="shared" si="46"/>
        <v>32.232843850000002</v>
      </c>
      <c r="I61" s="56">
        <f t="shared" si="46"/>
        <v>24.928986424999998</v>
      </c>
      <c r="J61" s="56">
        <f t="shared" si="46"/>
        <v>10.886186425000002</v>
      </c>
      <c r="K61" s="56">
        <f t="shared" si="46"/>
        <v>3.9296688500000005</v>
      </c>
      <c r="L61" s="56">
        <f t="shared" si="46"/>
        <v>3.1475968390000002</v>
      </c>
      <c r="M61" s="56">
        <f t="shared" si="46"/>
        <v>2.6760688500000009</v>
      </c>
      <c r="N61" s="56">
        <f t="shared" si="46"/>
        <v>1.048236425</v>
      </c>
      <c r="P61" s="51"/>
      <c r="Q61" s="132" t="s">
        <v>304</v>
      </c>
    </row>
    <row r="62" spans="1:17">
      <c r="A62" s="48"/>
      <c r="B62" s="48" t="s">
        <v>65</v>
      </c>
      <c r="C62" s="56">
        <f>C15+C16-C54</f>
        <v>-0.913053161</v>
      </c>
      <c r="D62" s="56">
        <f t="shared" ref="D62:N62" si="47">D15+D16-D54</f>
        <v>0.31119633199999974</v>
      </c>
      <c r="E62" s="56">
        <f t="shared" si="47"/>
        <v>4.2896838999999742E-2</v>
      </c>
      <c r="F62" s="56">
        <f t="shared" si="47"/>
        <v>5.6672341699999986</v>
      </c>
      <c r="G62" s="56">
        <f t="shared" si="47"/>
        <v>12.784571839000002</v>
      </c>
      <c r="H62" s="56">
        <f t="shared" si="47"/>
        <v>16.186427120000001</v>
      </c>
      <c r="I62" s="56">
        <f t="shared" si="47"/>
        <v>7.6987833040000009</v>
      </c>
      <c r="J62" s="56">
        <f t="shared" si="47"/>
        <v>1.1246583040000013</v>
      </c>
      <c r="K62" s="56">
        <f t="shared" si="47"/>
        <v>3.1929896199999996</v>
      </c>
      <c r="L62" s="56">
        <f t="shared" si="47"/>
        <v>6.0862968389999992</v>
      </c>
      <c r="M62" s="56">
        <f t="shared" si="47"/>
        <v>0.98330211999999984</v>
      </c>
      <c r="N62" s="56">
        <f t="shared" si="47"/>
        <v>0.68344580399999977</v>
      </c>
      <c r="P62" s="55"/>
      <c r="Q62" s="132" t="s">
        <v>304</v>
      </c>
    </row>
    <row r="63" spans="1:17">
      <c r="A63" s="48"/>
      <c r="B63" s="48"/>
      <c r="C63" s="5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P63" s="55"/>
    </row>
    <row r="64" spans="1:17" s="47" customFormat="1">
      <c r="A64" s="43" t="s">
        <v>78</v>
      </c>
      <c r="B64" s="43"/>
      <c r="C64" s="59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60"/>
      <c r="P64" s="61"/>
      <c r="Q64" s="131"/>
    </row>
    <row r="65" spans="1:17">
      <c r="A65" s="48"/>
      <c r="B65" s="48" t="s">
        <v>191</v>
      </c>
      <c r="C65" s="62">
        <f t="shared" ref="C65:C70" si="48">+IF(C57&lt;0,C57)+0</f>
        <v>0</v>
      </c>
      <c r="D65" s="62">
        <f t="shared" ref="D65:N70" si="49">+IF(D57&lt;0,D57)+C65</f>
        <v>0</v>
      </c>
      <c r="E65" s="62">
        <f t="shared" si="49"/>
        <v>0</v>
      </c>
      <c r="F65" s="62">
        <f t="shared" si="49"/>
        <v>0</v>
      </c>
      <c r="G65" s="62">
        <f t="shared" si="49"/>
        <v>0</v>
      </c>
      <c r="H65" s="62">
        <f t="shared" si="49"/>
        <v>0</v>
      </c>
      <c r="I65" s="62">
        <f t="shared" si="49"/>
        <v>0</v>
      </c>
      <c r="J65" s="62">
        <f t="shared" si="49"/>
        <v>0</v>
      </c>
      <c r="K65" s="62">
        <f t="shared" si="49"/>
        <v>0</v>
      </c>
      <c r="L65" s="62">
        <f t="shared" si="49"/>
        <v>0</v>
      </c>
      <c r="M65" s="62">
        <f t="shared" si="49"/>
        <v>0</v>
      </c>
      <c r="N65" s="62">
        <f t="shared" si="49"/>
        <v>0</v>
      </c>
      <c r="P65" s="55"/>
    </row>
    <row r="66" spans="1:17">
      <c r="A66" s="48"/>
      <c r="B66" s="48" t="s">
        <v>183</v>
      </c>
      <c r="C66" s="62">
        <f t="shared" si="48"/>
        <v>0</v>
      </c>
      <c r="D66" s="62">
        <f t="shared" si="49"/>
        <v>0</v>
      </c>
      <c r="E66" s="62">
        <f t="shared" si="49"/>
        <v>0</v>
      </c>
      <c r="F66" s="62">
        <f t="shared" si="49"/>
        <v>0</v>
      </c>
      <c r="G66" s="62">
        <f t="shared" si="49"/>
        <v>0</v>
      </c>
      <c r="H66" s="62">
        <f t="shared" si="49"/>
        <v>0</v>
      </c>
      <c r="I66" s="62">
        <f t="shared" si="49"/>
        <v>0</v>
      </c>
      <c r="J66" s="62">
        <f t="shared" si="49"/>
        <v>0</v>
      </c>
      <c r="K66" s="62">
        <f t="shared" si="49"/>
        <v>0</v>
      </c>
      <c r="L66" s="62">
        <f t="shared" si="49"/>
        <v>0</v>
      </c>
      <c r="M66" s="62">
        <f t="shared" si="49"/>
        <v>0</v>
      </c>
      <c r="N66" s="62">
        <f t="shared" si="49"/>
        <v>0</v>
      </c>
      <c r="P66" s="55"/>
    </row>
    <row r="67" spans="1:17">
      <c r="A67" s="48"/>
      <c r="B67" s="48" t="s">
        <v>62</v>
      </c>
      <c r="C67" s="62">
        <f t="shared" si="48"/>
        <v>0</v>
      </c>
      <c r="D67" s="62">
        <f t="shared" si="49"/>
        <v>0</v>
      </c>
      <c r="E67" s="62">
        <f t="shared" si="49"/>
        <v>0</v>
      </c>
      <c r="F67" s="62">
        <f t="shared" si="49"/>
        <v>0</v>
      </c>
      <c r="G67" s="62">
        <f t="shared" si="49"/>
        <v>0</v>
      </c>
      <c r="H67" s="62">
        <f t="shared" si="49"/>
        <v>0</v>
      </c>
      <c r="I67" s="62">
        <f t="shared" si="49"/>
        <v>0</v>
      </c>
      <c r="J67" s="62">
        <f t="shared" si="49"/>
        <v>0</v>
      </c>
      <c r="K67" s="62">
        <f t="shared" si="49"/>
        <v>0</v>
      </c>
      <c r="L67" s="62">
        <f t="shared" si="49"/>
        <v>0</v>
      </c>
      <c r="M67" s="62">
        <f t="shared" si="49"/>
        <v>0</v>
      </c>
      <c r="N67" s="62">
        <f t="shared" si="49"/>
        <v>0</v>
      </c>
      <c r="P67" s="55"/>
    </row>
    <row r="68" spans="1:17">
      <c r="A68" s="48"/>
      <c r="B68" s="48" t="s">
        <v>63</v>
      </c>
      <c r="C68" s="62">
        <f t="shared" si="48"/>
        <v>-0.68370380000000008</v>
      </c>
      <c r="D68" s="62">
        <f t="shared" si="49"/>
        <v>-0.68370380000000008</v>
      </c>
      <c r="E68" s="62">
        <f t="shared" si="49"/>
        <v>-0.68370380000000008</v>
      </c>
      <c r="F68" s="62">
        <f t="shared" si="49"/>
        <v>-0.68370380000000008</v>
      </c>
      <c r="G68" s="62">
        <f t="shared" si="49"/>
        <v>-0.68370380000000008</v>
      </c>
      <c r="H68" s="62">
        <f t="shared" si="49"/>
        <v>-0.68370380000000008</v>
      </c>
      <c r="I68" s="62">
        <f t="shared" si="49"/>
        <v>-0.68370380000000008</v>
      </c>
      <c r="J68" s="62">
        <f t="shared" si="49"/>
        <v>-0.68370380000000008</v>
      </c>
      <c r="K68" s="62">
        <f t="shared" si="49"/>
        <v>-0.68370380000000008</v>
      </c>
      <c r="L68" s="62">
        <f t="shared" si="49"/>
        <v>-0.68370380000000008</v>
      </c>
      <c r="M68" s="62">
        <f t="shared" si="49"/>
        <v>-0.68370380000000008</v>
      </c>
      <c r="N68" s="62">
        <f t="shared" si="49"/>
        <v>-0.68370380000000008</v>
      </c>
      <c r="P68" s="55"/>
    </row>
    <row r="69" spans="1:17">
      <c r="A69" s="48"/>
      <c r="B69" s="48" t="s">
        <v>64</v>
      </c>
      <c r="C69" s="62">
        <f t="shared" si="48"/>
        <v>-0.77625316099999997</v>
      </c>
      <c r="D69" s="62">
        <f t="shared" si="49"/>
        <v>-0.77625316099999997</v>
      </c>
      <c r="E69" s="62">
        <f t="shared" si="49"/>
        <v>-0.77625316099999997</v>
      </c>
      <c r="F69" s="62">
        <f t="shared" si="49"/>
        <v>-0.77625316099999997</v>
      </c>
      <c r="G69" s="62">
        <f t="shared" si="49"/>
        <v>-0.77625316099999997</v>
      </c>
      <c r="H69" s="62">
        <f t="shared" si="49"/>
        <v>-0.77625316099999997</v>
      </c>
      <c r="I69" s="62">
        <f t="shared" si="49"/>
        <v>-0.77625316099999997</v>
      </c>
      <c r="J69" s="62">
        <f t="shared" si="49"/>
        <v>-0.77625316099999997</v>
      </c>
      <c r="K69" s="62">
        <f t="shared" si="49"/>
        <v>-0.77625316099999997</v>
      </c>
      <c r="L69" s="62">
        <f t="shared" si="49"/>
        <v>-0.77625316099999997</v>
      </c>
      <c r="M69" s="62">
        <f t="shared" si="49"/>
        <v>-0.77625316099999997</v>
      </c>
      <c r="N69" s="62">
        <f t="shared" si="49"/>
        <v>-0.77625316099999997</v>
      </c>
      <c r="P69" s="55"/>
    </row>
    <row r="70" spans="1:17">
      <c r="A70" s="48"/>
      <c r="B70" s="48" t="s">
        <v>65</v>
      </c>
      <c r="C70" s="62">
        <f t="shared" si="48"/>
        <v>-0.913053161</v>
      </c>
      <c r="D70" s="62">
        <f t="shared" si="49"/>
        <v>-0.913053161</v>
      </c>
      <c r="E70" s="62">
        <f t="shared" si="49"/>
        <v>-0.913053161</v>
      </c>
      <c r="F70" s="62">
        <f t="shared" si="49"/>
        <v>-0.913053161</v>
      </c>
      <c r="G70" s="62">
        <f t="shared" si="49"/>
        <v>-0.913053161</v>
      </c>
      <c r="H70" s="62">
        <f t="shared" si="49"/>
        <v>-0.913053161</v>
      </c>
      <c r="I70" s="62">
        <f t="shared" si="49"/>
        <v>-0.913053161</v>
      </c>
      <c r="J70" s="62">
        <f t="shared" si="49"/>
        <v>-0.913053161</v>
      </c>
      <c r="K70" s="62">
        <f t="shared" si="49"/>
        <v>-0.913053161</v>
      </c>
      <c r="L70" s="62">
        <f t="shared" si="49"/>
        <v>-0.913053161</v>
      </c>
      <c r="M70" s="62">
        <f t="shared" si="49"/>
        <v>-0.913053161</v>
      </c>
      <c r="N70" s="62">
        <f t="shared" si="49"/>
        <v>-0.913053161</v>
      </c>
      <c r="P70" s="55"/>
    </row>
    <row r="71" spans="1:17">
      <c r="A71" s="48"/>
      <c r="B71" s="4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P71" s="55"/>
      <c r="Q71" s="132"/>
    </row>
    <row r="72" spans="1:17" s="47" customFormat="1">
      <c r="A72" s="43" t="s">
        <v>79</v>
      </c>
      <c r="B72" s="43"/>
      <c r="C72" s="59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60"/>
      <c r="P72" s="61"/>
      <c r="Q72" s="132"/>
    </row>
    <row r="73" spans="1:17">
      <c r="A73" s="48"/>
      <c r="B73" s="48" t="s">
        <v>191</v>
      </c>
      <c r="C73" s="56">
        <f t="shared" ref="C73:C77" si="50">+IF(C57&gt;0,C57)+N73</f>
        <v>15.091028000000001</v>
      </c>
      <c r="D73" s="56">
        <f t="shared" ref="D73:G78" si="51">+IF(D57&gt;0,D57)+C73</f>
        <v>15.345799600000001</v>
      </c>
      <c r="E73" s="56">
        <f t="shared" si="51"/>
        <v>15.839001200000002</v>
      </c>
      <c r="F73" s="56">
        <f t="shared" si="51"/>
        <v>22.881892800000003</v>
      </c>
      <c r="G73" s="56">
        <f t="shared" si="51"/>
        <v>42.373344400000008</v>
      </c>
      <c r="H73" s="56">
        <f t="shared" ref="H73:H78" si="52">+IF(H57&gt;0,H57)+G73</f>
        <v>79.617686000000006</v>
      </c>
      <c r="I73" s="56">
        <f t="shared" ref="I73:I78" si="53">+IF(I57&gt;0,I57)+H73</f>
        <v>110.82612760000001</v>
      </c>
      <c r="J73" s="64">
        <f t="shared" ref="J73:J78" si="54">+IF(J57&gt;0,J57)+I73</f>
        <v>126.80606920000001</v>
      </c>
      <c r="K73" s="56">
        <f t="shared" ref="K73:K77" si="55">+IF(K57&gt;0,K57)</f>
        <v>6.3925916000000003</v>
      </c>
      <c r="L73" s="56">
        <f t="shared" ref="L73:N78" si="56">+IF(L57&gt;0,L57)+K73</f>
        <v>10.4840432</v>
      </c>
      <c r="M73" s="56">
        <f t="shared" si="56"/>
        <v>13.386384800000002</v>
      </c>
      <c r="N73" s="56">
        <f t="shared" si="56"/>
        <v>14.701826400000002</v>
      </c>
      <c r="P73" s="55"/>
      <c r="Q73" s="132"/>
    </row>
    <row r="74" spans="1:17">
      <c r="A74" s="48"/>
      <c r="B74" s="48" t="s">
        <v>60</v>
      </c>
      <c r="C74" s="56">
        <f t="shared" si="50"/>
        <v>19.644737999999997</v>
      </c>
      <c r="D74" s="56">
        <f t="shared" si="51"/>
        <v>20.203509599999997</v>
      </c>
      <c r="E74" s="56">
        <f t="shared" si="51"/>
        <v>20.690711199999996</v>
      </c>
      <c r="F74" s="56">
        <f t="shared" si="51"/>
        <v>29.905602799999997</v>
      </c>
      <c r="G74" s="56">
        <f t="shared" si="51"/>
        <v>47.612054399999998</v>
      </c>
      <c r="H74" s="56">
        <f t="shared" si="52"/>
        <v>70.277695999999992</v>
      </c>
      <c r="I74" s="56">
        <f t="shared" si="53"/>
        <v>85.295247599999982</v>
      </c>
      <c r="J74" s="64">
        <f t="shared" si="54"/>
        <v>92.684299199999984</v>
      </c>
      <c r="K74" s="56">
        <f t="shared" si="55"/>
        <v>7.7948915999999997</v>
      </c>
      <c r="L74" s="56">
        <f t="shared" si="56"/>
        <v>15.986343199999999</v>
      </c>
      <c r="M74" s="56">
        <f t="shared" si="56"/>
        <v>17.668984799999997</v>
      </c>
      <c r="N74" s="56">
        <f t="shared" si="56"/>
        <v>18.963536399999995</v>
      </c>
      <c r="P74" s="55"/>
      <c r="Q74" s="132"/>
    </row>
    <row r="75" spans="1:17">
      <c r="A75" s="48"/>
      <c r="B75" s="48" t="s">
        <v>62</v>
      </c>
      <c r="C75" s="56">
        <f t="shared" si="50"/>
        <v>14.238764000000002</v>
      </c>
      <c r="D75" s="56">
        <f t="shared" si="51"/>
        <v>14.578040400000001</v>
      </c>
      <c r="E75" s="56">
        <f t="shared" si="51"/>
        <v>15.061336600000001</v>
      </c>
      <c r="F75" s="56">
        <f t="shared" si="51"/>
        <v>21.598626199999998</v>
      </c>
      <c r="G75" s="56">
        <f t="shared" si="51"/>
        <v>42.613422399999997</v>
      </c>
      <c r="H75" s="56">
        <f t="shared" si="52"/>
        <v>79.941457999999997</v>
      </c>
      <c r="I75" s="56">
        <f t="shared" si="53"/>
        <v>109.8280584</v>
      </c>
      <c r="J75" s="64">
        <f t="shared" si="54"/>
        <v>124.5911588</v>
      </c>
      <c r="K75" s="56">
        <f t="shared" si="55"/>
        <v>6.2325356000000003</v>
      </c>
      <c r="L75" s="56">
        <f t="shared" si="56"/>
        <v>10.233081800000001</v>
      </c>
      <c r="M75" s="56">
        <f t="shared" si="56"/>
        <v>12.851867400000001</v>
      </c>
      <c r="N75" s="56">
        <f t="shared" si="56"/>
        <v>13.922467800000002</v>
      </c>
      <c r="P75" s="55"/>
      <c r="Q75" s="132"/>
    </row>
    <row r="76" spans="1:17">
      <c r="A76" s="48"/>
      <c r="B76" s="48" t="s">
        <v>63</v>
      </c>
      <c r="C76" s="56">
        <f t="shared" si="50"/>
        <v>18.6844371</v>
      </c>
      <c r="D76" s="56">
        <f t="shared" si="51"/>
        <v>19.223713499999999</v>
      </c>
      <c r="E76" s="56">
        <f t="shared" si="51"/>
        <v>19.5745097</v>
      </c>
      <c r="F76" s="56">
        <f t="shared" si="51"/>
        <v>26.141424299999997</v>
      </c>
      <c r="G76" s="56">
        <f t="shared" si="51"/>
        <v>43.663420500000001</v>
      </c>
      <c r="H76" s="56">
        <f t="shared" si="52"/>
        <v>66.608075100000008</v>
      </c>
      <c r="I76" s="56">
        <f t="shared" si="53"/>
        <v>80.359106800000006</v>
      </c>
      <c r="J76" s="64">
        <f t="shared" si="54"/>
        <v>86.751088500000009</v>
      </c>
      <c r="K76" s="56">
        <f t="shared" si="55"/>
        <v>7.4961795999999996</v>
      </c>
      <c r="L76" s="56">
        <f t="shared" si="56"/>
        <v>16.361725800000002</v>
      </c>
      <c r="M76" s="56">
        <f t="shared" si="56"/>
        <v>17.676130400000002</v>
      </c>
      <c r="N76" s="56">
        <f t="shared" si="56"/>
        <v>18.6844371</v>
      </c>
      <c r="P76" s="55"/>
      <c r="Q76" s="132"/>
    </row>
    <row r="77" spans="1:17">
      <c r="A77" s="48"/>
      <c r="B77" s="48" t="s">
        <v>64</v>
      </c>
      <c r="C77" s="56">
        <f t="shared" si="50"/>
        <v>10.801570964000001</v>
      </c>
      <c r="D77" s="56">
        <f t="shared" si="51"/>
        <v>11.109367296000002</v>
      </c>
      <c r="E77" s="56">
        <f t="shared" si="51"/>
        <v>11.558014135000002</v>
      </c>
      <c r="F77" s="56">
        <f t="shared" si="51"/>
        <v>18.281910805000003</v>
      </c>
      <c r="G77" s="56">
        <f t="shared" si="51"/>
        <v>36.350582643999999</v>
      </c>
      <c r="H77" s="56">
        <f t="shared" si="52"/>
        <v>68.583426494000008</v>
      </c>
      <c r="I77" s="56">
        <f t="shared" si="53"/>
        <v>93.512412919000013</v>
      </c>
      <c r="J77" s="64">
        <f t="shared" si="54"/>
        <v>104.39859934400002</v>
      </c>
      <c r="K77" s="56">
        <f t="shared" si="55"/>
        <v>3.9296688500000005</v>
      </c>
      <c r="L77" s="56">
        <f t="shared" si="56"/>
        <v>7.0772656890000007</v>
      </c>
      <c r="M77" s="56">
        <f t="shared" si="56"/>
        <v>9.7533345390000008</v>
      </c>
      <c r="N77" s="56">
        <f t="shared" si="56"/>
        <v>10.801570964000001</v>
      </c>
      <c r="P77" s="55"/>
      <c r="Q77" s="132"/>
    </row>
    <row r="78" spans="1:17">
      <c r="A78" s="48"/>
      <c r="B78" s="48" t="s">
        <v>65</v>
      </c>
      <c r="C78" s="56">
        <f>+IF(C62&gt;0,C62)+N78</f>
        <v>10.946034382999997</v>
      </c>
      <c r="D78" s="56">
        <f>+IF(D62&gt;0,D62)+C78</f>
        <v>11.257230714999997</v>
      </c>
      <c r="E78" s="56">
        <f t="shared" si="51"/>
        <v>11.300127553999996</v>
      </c>
      <c r="F78" s="56">
        <f t="shared" si="51"/>
        <v>16.967361723999993</v>
      </c>
      <c r="G78" s="56">
        <f t="shared" si="51"/>
        <v>29.751933562999994</v>
      </c>
      <c r="H78" s="56">
        <f t="shared" si="52"/>
        <v>45.938360682999999</v>
      </c>
      <c r="I78" s="56">
        <f t="shared" si="53"/>
        <v>53.637143987000002</v>
      </c>
      <c r="J78" s="64">
        <f t="shared" si="54"/>
        <v>54.761802291000002</v>
      </c>
      <c r="K78" s="56">
        <f>+IF(K62&gt;0,K62)</f>
        <v>3.1929896199999996</v>
      </c>
      <c r="L78" s="56">
        <f>+IF(L62&gt;0,L62)+K78</f>
        <v>9.2792864589999979</v>
      </c>
      <c r="M78" s="56">
        <f t="shared" si="56"/>
        <v>10.262588578999997</v>
      </c>
      <c r="N78" s="56">
        <f t="shared" si="56"/>
        <v>10.946034382999997</v>
      </c>
      <c r="P78" s="55"/>
    </row>
    <row r="79" spans="1:17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P79" s="55"/>
    </row>
    <row r="80" spans="1:17" s="47" customFormat="1">
      <c r="A80" s="43" t="s">
        <v>80</v>
      </c>
      <c r="B80" s="43"/>
      <c r="C80" s="43"/>
      <c r="D80" s="43"/>
      <c r="E80" s="43"/>
      <c r="F80" s="43" t="s">
        <v>81</v>
      </c>
      <c r="G80" s="43"/>
      <c r="H80" s="43"/>
      <c r="I80" s="43" t="s">
        <v>82</v>
      </c>
      <c r="J80" s="43"/>
      <c r="K80" s="43"/>
      <c r="L80" s="43"/>
      <c r="M80" s="43" t="s">
        <v>83</v>
      </c>
      <c r="N80" s="59" t="s">
        <v>84</v>
      </c>
      <c r="O80" s="60"/>
      <c r="P80" s="61"/>
      <c r="Q80" s="131"/>
    </row>
    <row r="81" spans="1:17" s="47" customFormat="1">
      <c r="A81" s="43"/>
      <c r="B81" s="43"/>
      <c r="C81" s="43"/>
      <c r="D81" s="43"/>
      <c r="E81" s="43"/>
      <c r="F81" s="43" t="s">
        <v>256</v>
      </c>
      <c r="G81" s="43"/>
      <c r="H81" s="43"/>
      <c r="I81" s="43" t="s">
        <v>286</v>
      </c>
      <c r="J81" s="43"/>
      <c r="K81" s="43"/>
      <c r="L81" s="43"/>
      <c r="M81" s="59" t="s">
        <v>85</v>
      </c>
      <c r="N81" s="59"/>
      <c r="O81" s="60"/>
      <c r="P81" s="61"/>
      <c r="Q81" s="131"/>
    </row>
    <row r="82" spans="1:17">
      <c r="A82" s="48"/>
      <c r="B82" s="48" t="s">
        <v>191</v>
      </c>
      <c r="C82" s="48"/>
      <c r="D82" s="48"/>
      <c r="E82" s="48"/>
      <c r="F82" s="56">
        <f>J65</f>
        <v>0</v>
      </c>
      <c r="G82" s="56"/>
      <c r="H82" s="56"/>
      <c r="I82" s="48"/>
      <c r="J82" s="134">
        <f t="shared" ref="J82:J87" si="57">J73</f>
        <v>126.80606920000001</v>
      </c>
      <c r="K82" s="56"/>
      <c r="L82" s="56"/>
      <c r="M82" s="56">
        <f t="shared" ref="M82:M87" si="58">F82+J82</f>
        <v>126.80606920000001</v>
      </c>
      <c r="N82" s="48"/>
      <c r="P82" s="55"/>
    </row>
    <row r="83" spans="1:17">
      <c r="A83" s="48"/>
      <c r="B83" s="48" t="s">
        <v>183</v>
      </c>
      <c r="C83" s="48"/>
      <c r="D83" s="48"/>
      <c r="E83" s="48"/>
      <c r="F83" s="56">
        <f>K66</f>
        <v>0</v>
      </c>
      <c r="G83" s="56"/>
      <c r="H83" s="56"/>
      <c r="I83" s="48"/>
      <c r="J83" s="134">
        <f t="shared" si="57"/>
        <v>92.684299199999984</v>
      </c>
      <c r="K83" s="56"/>
      <c r="L83" s="56"/>
      <c r="M83" s="56">
        <f t="shared" si="58"/>
        <v>92.684299199999984</v>
      </c>
      <c r="N83" s="63" t="e">
        <f>J83/-F83</f>
        <v>#DIV/0!</v>
      </c>
      <c r="P83" s="55"/>
    </row>
    <row r="84" spans="1:17">
      <c r="A84" s="48"/>
      <c r="B84" s="48" t="s">
        <v>62</v>
      </c>
      <c r="C84" s="48"/>
      <c r="D84" s="48"/>
      <c r="E84" s="48"/>
      <c r="F84" s="56">
        <f t="shared" ref="F84:F87" si="59">K67</f>
        <v>0</v>
      </c>
      <c r="G84" s="56"/>
      <c r="H84" s="56"/>
      <c r="I84" s="48"/>
      <c r="J84" s="134">
        <f t="shared" si="57"/>
        <v>124.5911588</v>
      </c>
      <c r="K84" s="56"/>
      <c r="L84" s="56"/>
      <c r="M84" s="56">
        <f t="shared" si="58"/>
        <v>124.5911588</v>
      </c>
      <c r="N84" s="63"/>
      <c r="P84" s="55"/>
    </row>
    <row r="85" spans="1:17">
      <c r="A85" s="48"/>
      <c r="B85" s="48" t="s">
        <v>63</v>
      </c>
      <c r="C85" s="48"/>
      <c r="D85" s="48"/>
      <c r="E85" s="48"/>
      <c r="F85" s="56">
        <f t="shared" si="59"/>
        <v>-0.68370380000000008</v>
      </c>
      <c r="G85" s="56"/>
      <c r="H85" s="56"/>
      <c r="I85" s="48"/>
      <c r="J85" s="134">
        <f t="shared" si="57"/>
        <v>86.751088500000009</v>
      </c>
      <c r="K85" s="56"/>
      <c r="L85" s="56"/>
      <c r="M85" s="56">
        <f t="shared" si="58"/>
        <v>86.067384700000005</v>
      </c>
      <c r="N85" s="63">
        <f>J85/-F85</f>
        <v>126.88402273031099</v>
      </c>
      <c r="P85" s="55"/>
    </row>
    <row r="86" spans="1:17">
      <c r="A86" s="48"/>
      <c r="B86" s="48" t="s">
        <v>64</v>
      </c>
      <c r="C86" s="48"/>
      <c r="D86" s="48"/>
      <c r="E86" s="48"/>
      <c r="F86" s="56">
        <f t="shared" si="59"/>
        <v>-0.77625316099999997</v>
      </c>
      <c r="G86" s="56"/>
      <c r="H86" s="56"/>
      <c r="I86" s="48"/>
      <c r="J86" s="134">
        <f t="shared" si="57"/>
        <v>104.39859934400002</v>
      </c>
      <c r="K86" s="56"/>
      <c r="L86" s="56"/>
      <c r="M86" s="56">
        <f t="shared" si="58"/>
        <v>103.62234618300002</v>
      </c>
      <c r="N86" s="63"/>
      <c r="P86" s="55"/>
    </row>
    <row r="87" spans="1:17">
      <c r="A87" s="48"/>
      <c r="B87" s="48" t="s">
        <v>65</v>
      </c>
      <c r="C87" s="48"/>
      <c r="D87" s="48"/>
      <c r="E87" s="48"/>
      <c r="F87" s="56">
        <f t="shared" si="59"/>
        <v>-0.913053161</v>
      </c>
      <c r="G87" s="56"/>
      <c r="H87" s="56"/>
      <c r="I87" s="48"/>
      <c r="J87" s="134">
        <f t="shared" si="57"/>
        <v>54.761802291000002</v>
      </c>
      <c r="K87" s="56"/>
      <c r="L87" s="56"/>
      <c r="M87" s="56">
        <f t="shared" si="58"/>
        <v>53.848749130000002</v>
      </c>
      <c r="N87" s="63">
        <f>J87/-F87</f>
        <v>59.976575987123717</v>
      </c>
      <c r="P87" s="55"/>
    </row>
    <row r="88" spans="1:17">
      <c r="A88" s="48"/>
      <c r="B88" s="48"/>
      <c r="C88" s="48"/>
      <c r="D88" s="48"/>
      <c r="E88" s="48"/>
      <c r="F88" s="56"/>
      <c r="G88" s="56"/>
      <c r="H88" s="56"/>
      <c r="I88" s="56"/>
      <c r="J88" s="56"/>
      <c r="K88" s="56"/>
      <c r="L88" s="56"/>
      <c r="M88" s="56"/>
      <c r="N88" s="63"/>
      <c r="P88" s="55"/>
    </row>
    <row r="89" spans="1:17" s="47" customFormat="1">
      <c r="A89" s="43" t="s">
        <v>86</v>
      </c>
      <c r="B89" s="43"/>
      <c r="C89" s="43"/>
      <c r="D89" s="43"/>
      <c r="E89" s="43"/>
      <c r="F89" s="64"/>
      <c r="G89" s="64"/>
      <c r="H89" s="64"/>
      <c r="I89" s="64"/>
      <c r="J89" s="64"/>
      <c r="K89" s="64"/>
      <c r="L89" s="64"/>
      <c r="M89" s="64"/>
      <c r="N89" s="65"/>
      <c r="O89" s="60"/>
      <c r="P89" s="61"/>
      <c r="Q89" s="131"/>
    </row>
    <row r="90" spans="1:17">
      <c r="A90" s="48" t="s">
        <v>257</v>
      </c>
      <c r="B90" s="48"/>
      <c r="C90" s="48"/>
      <c r="D90" s="48"/>
      <c r="E90" s="48"/>
      <c r="F90" s="56">
        <f>('Wasserspeicher Region'!C12)/1000000</f>
        <v>0.75405</v>
      </c>
      <c r="G90" s="56" t="s">
        <v>55</v>
      </c>
      <c r="H90" s="56"/>
      <c r="I90" s="56"/>
      <c r="J90" s="56"/>
      <c r="K90" s="56"/>
      <c r="L90" s="56"/>
      <c r="M90" s="56"/>
      <c r="N90" s="63"/>
      <c r="P90" s="55"/>
    </row>
    <row r="91" spans="1:17">
      <c r="A91" s="48" t="s">
        <v>265</v>
      </c>
      <c r="B91" s="48"/>
      <c r="C91" s="48"/>
      <c r="D91" s="48"/>
      <c r="E91" s="48"/>
      <c r="F91" s="56">
        <v>50</v>
      </c>
      <c r="G91" s="56" t="s">
        <v>55</v>
      </c>
      <c r="H91" s="56"/>
      <c r="I91" s="56"/>
      <c r="J91" s="56"/>
      <c r="K91" s="56"/>
      <c r="L91" s="56"/>
      <c r="M91" s="56"/>
      <c r="N91" s="63"/>
      <c r="P91" s="55"/>
    </row>
    <row r="92" spans="1:17">
      <c r="A92" s="48"/>
      <c r="B92" s="48"/>
      <c r="C92" s="5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P92" s="55"/>
    </row>
    <row r="93" spans="1:17" s="22" customFormat="1" ht="42">
      <c r="A93" s="66" t="s">
        <v>87</v>
      </c>
      <c r="B93" s="67" t="s">
        <v>88</v>
      </c>
      <c r="C93" s="68" t="s">
        <v>89</v>
      </c>
      <c r="D93" s="69"/>
      <c r="E93" s="68" t="s">
        <v>90</v>
      </c>
      <c r="F93" s="69"/>
      <c r="G93" s="70" t="s">
        <v>91</v>
      </c>
      <c r="H93" s="71"/>
      <c r="I93" s="71"/>
      <c r="J93" s="71"/>
      <c r="K93" s="71"/>
      <c r="L93" s="71"/>
      <c r="M93" s="71"/>
      <c r="N93" s="71"/>
      <c r="O93" s="72"/>
      <c r="P93" s="73"/>
      <c r="Q93" s="73"/>
    </row>
    <row r="94" spans="1:17">
      <c r="A94" s="48" t="s">
        <v>58</v>
      </c>
      <c r="B94" s="98">
        <v>36500</v>
      </c>
      <c r="C94" s="74">
        <v>0.28000000000000003</v>
      </c>
      <c r="D94" s="48"/>
      <c r="E94" s="74">
        <v>0.3</v>
      </c>
      <c r="F94" s="48"/>
      <c r="G94" s="49">
        <f t="shared" ref="G94:G99" si="60">(8*C94+4*E94)/12</f>
        <v>0.28666666666666668</v>
      </c>
      <c r="H94" s="48"/>
      <c r="I94" s="48"/>
      <c r="J94" s="48"/>
      <c r="K94" s="48"/>
      <c r="L94" s="48"/>
      <c r="M94" s="48"/>
      <c r="N94" s="48"/>
      <c r="O94" s="50"/>
      <c r="P94" s="75"/>
    </row>
    <row r="95" spans="1:17">
      <c r="A95" s="48" t="s">
        <v>60</v>
      </c>
      <c r="B95" s="98">
        <v>36500</v>
      </c>
      <c r="C95" s="74">
        <v>0.28000000000000003</v>
      </c>
      <c r="D95" s="48"/>
      <c r="E95" s="74">
        <v>0.33</v>
      </c>
      <c r="F95" s="48"/>
      <c r="G95" s="49">
        <f t="shared" si="60"/>
        <v>0.29666666666666669</v>
      </c>
      <c r="H95" s="48"/>
      <c r="I95" s="48"/>
      <c r="J95" s="48"/>
      <c r="K95" s="48"/>
      <c r="L95" s="48"/>
      <c r="M95" s="48"/>
      <c r="N95" s="48"/>
      <c r="O95" s="50"/>
      <c r="P95" s="75"/>
    </row>
    <row r="96" spans="1:17">
      <c r="A96" s="48" t="s">
        <v>62</v>
      </c>
      <c r="B96" s="98">
        <f>B94*(1+K96)</f>
        <v>48545</v>
      </c>
      <c r="C96" s="74">
        <v>0.26</v>
      </c>
      <c r="D96" s="48"/>
      <c r="E96" s="74">
        <v>0.28000000000000003</v>
      </c>
      <c r="F96" s="48"/>
      <c r="G96" s="49">
        <f t="shared" si="60"/>
        <v>0.26666666666666666</v>
      </c>
      <c r="H96" s="48"/>
      <c r="I96" s="48"/>
      <c r="J96" s="48" t="s">
        <v>169</v>
      </c>
      <c r="K96" s="63">
        <v>0.33</v>
      </c>
      <c r="L96" s="48"/>
      <c r="M96" s="48"/>
      <c r="N96" s="48"/>
      <c r="O96" s="50"/>
      <c r="P96" s="75" t="s">
        <v>168</v>
      </c>
    </row>
    <row r="97" spans="1:16" customFormat="1">
      <c r="A97" s="48" t="s">
        <v>63</v>
      </c>
      <c r="B97" s="98">
        <f t="shared" ref="B97:B99" si="61">B95*(1+K97)</f>
        <v>48545</v>
      </c>
      <c r="C97" s="74">
        <v>0.26</v>
      </c>
      <c r="D97" s="48"/>
      <c r="E97" s="74">
        <v>0.31</v>
      </c>
      <c r="F97" s="48"/>
      <c r="G97" s="49">
        <f t="shared" si="60"/>
        <v>0.27666666666666667</v>
      </c>
      <c r="H97" s="48"/>
      <c r="I97" s="48"/>
      <c r="J97" s="48" t="s">
        <v>169</v>
      </c>
      <c r="K97" s="63">
        <v>0.33</v>
      </c>
      <c r="L97" s="48"/>
      <c r="M97" s="48"/>
      <c r="N97" s="48"/>
      <c r="O97" s="50"/>
      <c r="P97" s="75"/>
    </row>
    <row r="98" spans="1:16" customFormat="1">
      <c r="A98" s="48" t="s">
        <v>64</v>
      </c>
      <c r="B98" s="98">
        <f t="shared" si="61"/>
        <v>64564.850000000006</v>
      </c>
      <c r="C98" s="74">
        <v>0.23</v>
      </c>
      <c r="D98" s="48"/>
      <c r="E98" s="74">
        <v>0.25</v>
      </c>
      <c r="F98" s="48"/>
      <c r="G98" s="49">
        <f t="shared" si="60"/>
        <v>0.23666666666666666</v>
      </c>
      <c r="H98" s="48"/>
      <c r="I98" s="48"/>
      <c r="J98" s="48" t="s">
        <v>169</v>
      </c>
      <c r="K98" s="63">
        <v>0.33</v>
      </c>
      <c r="L98" s="48"/>
      <c r="M98" s="48"/>
      <c r="N98" s="48"/>
      <c r="O98" s="50"/>
      <c r="P98" s="75"/>
    </row>
    <row r="99" spans="1:16" customFormat="1">
      <c r="A99" s="48" t="s">
        <v>65</v>
      </c>
      <c r="B99" s="98">
        <f t="shared" si="61"/>
        <v>64564.850000000006</v>
      </c>
      <c r="C99" s="74">
        <v>0.23</v>
      </c>
      <c r="D99" s="48"/>
      <c r="E99" s="74">
        <v>0.28000000000000003</v>
      </c>
      <c r="F99" s="48"/>
      <c r="G99" s="49">
        <f t="shared" si="60"/>
        <v>0.24666666666666667</v>
      </c>
      <c r="H99" s="48"/>
      <c r="I99" s="48"/>
      <c r="J99" s="48" t="s">
        <v>169</v>
      </c>
      <c r="K99" s="63">
        <v>0.33</v>
      </c>
      <c r="L99" s="48"/>
      <c r="M99" s="48"/>
      <c r="N99" s="48"/>
      <c r="O99" s="50"/>
      <c r="P99" s="75"/>
    </row>
    <row r="100" spans="1:16" customFormat="1">
      <c r="A100" s="48"/>
      <c r="B100" s="98"/>
      <c r="C100" s="74"/>
      <c r="D100" s="48"/>
      <c r="E100" s="74"/>
      <c r="F100" s="48"/>
      <c r="G100" s="49"/>
      <c r="H100" s="48"/>
      <c r="I100" s="48"/>
      <c r="J100" s="48"/>
      <c r="K100" s="63"/>
      <c r="L100" s="48"/>
      <c r="M100" s="48"/>
      <c r="N100" s="48"/>
      <c r="O100" s="50"/>
      <c r="P100" s="75"/>
    </row>
    <row r="101" spans="1:16" customFormat="1">
      <c r="A101" s="43" t="s">
        <v>271</v>
      </c>
      <c r="B101" s="48"/>
      <c r="C101" s="5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57"/>
      <c r="P101" s="76"/>
    </row>
    <row r="102" spans="1:16" customFormat="1">
      <c r="A102" s="48" t="s">
        <v>272</v>
      </c>
      <c r="B102" s="48"/>
      <c r="C102" s="127">
        <f>(145+175)/2</f>
        <v>160</v>
      </c>
      <c r="D102" s="86">
        <f>(190+175)/2</f>
        <v>182.5</v>
      </c>
      <c r="E102" s="127">
        <f>(130+130)/2</f>
        <v>130</v>
      </c>
      <c r="F102" s="86">
        <f>(55+50)/2</f>
        <v>52.5</v>
      </c>
      <c r="G102" s="86">
        <f>(25+20)/2</f>
        <v>22.5</v>
      </c>
      <c r="H102" s="86">
        <f>80+85</f>
        <v>165</v>
      </c>
      <c r="I102" s="86">
        <f>(160+170)/2</f>
        <v>165</v>
      </c>
      <c r="J102" s="86">
        <f>(150+170)/2</f>
        <v>160</v>
      </c>
      <c r="K102" s="86">
        <f>(90+105)/2</f>
        <v>97.5</v>
      </c>
      <c r="L102" s="86">
        <f>(35+30)/2</f>
        <v>32.5</v>
      </c>
      <c r="M102" s="86">
        <f>(20+10)/2</f>
        <v>15</v>
      </c>
      <c r="N102" s="86">
        <f>(115+115)/2</f>
        <v>115</v>
      </c>
      <c r="O102" s="128">
        <f>SUM(C102:N102)</f>
        <v>1297.5</v>
      </c>
      <c r="P102" s="76" t="s">
        <v>281</v>
      </c>
    </row>
    <row r="103" spans="1:16" customFormat="1">
      <c r="A103" s="48"/>
      <c r="B103" s="48"/>
      <c r="C103" s="5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57"/>
      <c r="P103" s="76"/>
    </row>
    <row r="104" spans="1:16" customFormat="1">
      <c r="A104" s="48"/>
      <c r="B104" s="48"/>
      <c r="C104" s="5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57"/>
      <c r="P104" s="76"/>
    </row>
    <row r="105" spans="1:16" customFormat="1">
      <c r="A105" s="48"/>
      <c r="B105" s="48"/>
      <c r="C105" s="5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57"/>
      <c r="P105" s="76"/>
    </row>
    <row r="106" spans="1:16" customFormat="1">
      <c r="A106" s="48"/>
      <c r="B106" s="48"/>
      <c r="C106" s="5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57"/>
      <c r="P106" s="76"/>
    </row>
    <row r="107" spans="1:16" customFormat="1">
      <c r="A107" s="48"/>
      <c r="B107" s="48"/>
      <c r="C107" s="5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57"/>
      <c r="P107" s="76"/>
    </row>
    <row r="108" spans="1:16" customFormat="1">
      <c r="A108" s="48"/>
      <c r="B108" s="48"/>
      <c r="C108" s="5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57"/>
      <c r="P108" s="76"/>
    </row>
    <row r="109" spans="1:16" customFormat="1">
      <c r="A109" s="48"/>
      <c r="B109" s="48"/>
      <c r="C109" s="5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57"/>
      <c r="P109" s="76"/>
    </row>
    <row r="110" spans="1:16" customFormat="1">
      <c r="A110" s="48"/>
      <c r="B110" s="48"/>
      <c r="C110" s="5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57"/>
      <c r="P110" s="76"/>
    </row>
  </sheetData>
  <pageMargins left="0.51181102362204722" right="0.51181102362204722" top="0.78740157480314965" bottom="0.78740157480314965" header="0.31496062992125984" footer="0.31496062992125984"/>
  <pageSetup paperSize="9" orientation="landscape"/>
  <headerFooter>
    <oddHeader>&amp;L&amp;"-,Fett"&amp;12WaterStorage.ch - Crans-Montana Region - Datengrundlagen</oddHeader>
    <oddFooter>&amp;L&amp;8W. Thut - Geografisches Institut der Uni Bern - Gruppe für Hydrologie - Oeschger Zenrum für Klimaforschung&amp;C&amp;8&amp;D&amp;R&amp;10&amp;P/&amp;N</oddFooter>
  </headerFooter>
  <rowBreaks count="1" manualBreakCount="1">
    <brk id="63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6"/>
  <sheetViews>
    <sheetView zoomScale="70" zoomScaleNormal="70" zoomScalePageLayoutView="70" workbookViewId="0">
      <pane xSplit="1" ySplit="2" topLeftCell="B3" activePane="bottomRight" state="frozen"/>
      <selection activeCell="C23" sqref="C23"/>
      <selection pane="topRight" activeCell="C23" sqref="C23"/>
      <selection pane="bottomLeft" activeCell="C23" sqref="C23"/>
      <selection pane="bottomRight" activeCell="C23" sqref="C23"/>
    </sheetView>
  </sheetViews>
  <sheetFormatPr baseColWidth="10" defaultRowHeight="14" x14ac:dyDescent="0"/>
  <cols>
    <col min="1" max="1" width="38.33203125" style="77" customWidth="1"/>
    <col min="2" max="2" width="9" style="79" customWidth="1"/>
    <col min="3" max="4" width="8.1640625" style="79" customWidth="1"/>
    <col min="5" max="5" width="8.1640625" style="78" customWidth="1"/>
    <col min="6" max="7" width="8.1640625" style="79" customWidth="1"/>
    <col min="8" max="8" width="8.6640625" style="79" customWidth="1"/>
    <col min="9" max="9" width="9.1640625" style="79" customWidth="1"/>
    <col min="10" max="10" width="9.33203125" style="79" customWidth="1"/>
    <col min="11" max="12" width="9.1640625" style="79" customWidth="1"/>
    <col min="13" max="13" width="8.6640625" style="79" customWidth="1"/>
    <col min="14" max="14" width="11.5" style="57" customWidth="1"/>
    <col min="15" max="15" width="11.5" style="80" customWidth="1"/>
  </cols>
  <sheetData>
    <row r="1" spans="1:17" s="33" customFormat="1" ht="18">
      <c r="A1" s="28" t="s">
        <v>38</v>
      </c>
      <c r="B1" s="30" t="s">
        <v>49</v>
      </c>
      <c r="C1" s="30" t="s">
        <v>50</v>
      </c>
      <c r="D1" s="30" t="s">
        <v>51</v>
      </c>
      <c r="E1" s="30" t="s">
        <v>40</v>
      </c>
      <c r="F1" s="30" t="s">
        <v>41</v>
      </c>
      <c r="G1" s="30" t="s">
        <v>42</v>
      </c>
      <c r="H1" s="30" t="s">
        <v>43</v>
      </c>
      <c r="I1" s="30" t="s">
        <v>44</v>
      </c>
      <c r="J1" s="30" t="s">
        <v>45</v>
      </c>
      <c r="K1" s="30" t="s">
        <v>46</v>
      </c>
      <c r="L1" s="30" t="s">
        <v>47</v>
      </c>
      <c r="M1" s="30" t="s">
        <v>48</v>
      </c>
      <c r="N1" s="31" t="s">
        <v>52</v>
      </c>
      <c r="O1" s="32"/>
    </row>
    <row r="2" spans="1:17" s="38" customFormat="1">
      <c r="A2" s="34"/>
      <c r="B2" s="35" t="s">
        <v>55</v>
      </c>
      <c r="C2" s="35" t="s">
        <v>55</v>
      </c>
      <c r="D2" s="35" t="s">
        <v>55</v>
      </c>
      <c r="E2" s="35" t="s">
        <v>55</v>
      </c>
      <c r="F2" s="35" t="s">
        <v>55</v>
      </c>
      <c r="G2" s="35" t="s">
        <v>55</v>
      </c>
      <c r="H2" s="35" t="s">
        <v>55</v>
      </c>
      <c r="I2" s="35" t="s">
        <v>55</v>
      </c>
      <c r="J2" s="35" t="s">
        <v>55</v>
      </c>
      <c r="K2" s="35" t="s">
        <v>55</v>
      </c>
      <c r="L2" s="35" t="s">
        <v>55</v>
      </c>
      <c r="M2" s="35" t="s">
        <v>55</v>
      </c>
      <c r="N2" s="36" t="s">
        <v>55</v>
      </c>
      <c r="O2" s="37"/>
    </row>
    <row r="3" spans="1:17" s="39" customFormat="1"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3"/>
      <c r="O3" s="101"/>
    </row>
    <row r="4" spans="1:17" s="38" customFormat="1" ht="15">
      <c r="A4" s="99" t="s">
        <v>166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1"/>
      <c r="O4" s="42"/>
    </row>
    <row r="5" spans="1:17" s="47" customFormat="1">
      <c r="A5" s="43" t="s">
        <v>184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5"/>
      <c r="O5" s="46"/>
    </row>
    <row r="6" spans="1:17">
      <c r="A6" s="48" t="s">
        <v>165</v>
      </c>
      <c r="B6" s="93">
        <f>SUM('Strukturierung Daten Montana'!L6)</f>
        <v>2.7</v>
      </c>
      <c r="C6" s="93">
        <f>SUM('Strukturierung Daten Montana'!M6)</f>
        <v>2.3290000000000002</v>
      </c>
      <c r="D6" s="93">
        <f>SUM('Strukturierung Daten Montana'!N6)</f>
        <v>1.294</v>
      </c>
      <c r="E6" s="93">
        <f>SUM('Strukturierung Daten Montana'!C6)</f>
        <v>0.83599999999999997</v>
      </c>
      <c r="F6" s="93">
        <f>SUM('Strukturierung Daten Montana'!D6)</f>
        <v>0.64700000000000002</v>
      </c>
      <c r="G6" s="93">
        <f>SUM('Strukturierung Daten Montana'!E6)</f>
        <v>0.73099999999999998</v>
      </c>
      <c r="H6" s="93">
        <f>SUM('Strukturierung Daten Montana'!F6)</f>
        <v>4.577</v>
      </c>
      <c r="I6" s="93">
        <f>SUM('Strukturierung Daten Montana'!G6)</f>
        <v>13.087</v>
      </c>
      <c r="J6" s="93">
        <f>SUM('Strukturierung Daten Montana'!H6)</f>
        <v>14.026</v>
      </c>
      <c r="K6" s="93">
        <f>SUM('Strukturierung Daten Montana'!I6)</f>
        <v>13.262</v>
      </c>
      <c r="L6" s="93">
        <f>SUM('Strukturierung Daten Montana'!J6)</f>
        <v>7.0720000000000001</v>
      </c>
      <c r="M6" s="93">
        <f>SUM('Strukturierung Daten Montana'!K6)</f>
        <v>3.1040000000000001</v>
      </c>
      <c r="N6" s="50">
        <f>SUM(E6:M6)</f>
        <v>57.341999999999999</v>
      </c>
      <c r="O6" s="51"/>
    </row>
    <row r="7" spans="1:17" s="47" customFormat="1">
      <c r="A7" s="43" t="s">
        <v>66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102"/>
      <c r="O7" s="46"/>
      <c r="Q7" s="86"/>
    </row>
    <row r="8" spans="1:17" s="47" customFormat="1">
      <c r="A8" s="43" t="s">
        <v>258</v>
      </c>
      <c r="B8" s="52">
        <f>SUM('Strukturierung Daten Montana'!L19)</f>
        <v>0.76515840000000002</v>
      </c>
      <c r="C8" s="52">
        <f>SUM('Strukturierung Daten Montana'!M19)</f>
        <v>0.76515840000000002</v>
      </c>
      <c r="D8" s="52">
        <f>SUM('Strukturierung Daten Montana'!N19)</f>
        <v>0.76515840000000002</v>
      </c>
      <c r="E8" s="52">
        <f>SUM('Strukturierung Daten Montana'!C19)</f>
        <v>0.76515840000000002</v>
      </c>
      <c r="F8" s="52">
        <f>SUM('Strukturierung Daten Montana'!D19)</f>
        <v>0.76515840000000002</v>
      </c>
      <c r="G8" s="52">
        <f>SUM('Strukturierung Daten Montana'!E19)</f>
        <v>0.76515840000000002</v>
      </c>
      <c r="H8" s="52">
        <f>SUM('Strukturierung Daten Montana'!F19)</f>
        <v>0.76515840000000002</v>
      </c>
      <c r="I8" s="52">
        <f>SUM('Strukturierung Daten Montana'!G19)</f>
        <v>0.76515840000000002</v>
      </c>
      <c r="J8" s="52">
        <f>SUM('Strukturierung Daten Montana'!H19)</f>
        <v>0.76515840000000002</v>
      </c>
      <c r="K8" s="52">
        <f>SUM('Strukturierung Daten Montana'!I19)</f>
        <v>0.76515840000000002</v>
      </c>
      <c r="L8" s="52">
        <f>SUM('Strukturierung Daten Montana'!J19)</f>
        <v>0.76515840000000002</v>
      </c>
      <c r="M8" s="52">
        <f>SUM('Strukturierung Daten Montana'!K19)</f>
        <v>0.76515840000000002</v>
      </c>
      <c r="N8" s="102"/>
      <c r="O8" s="46"/>
      <c r="Q8" s="86"/>
    </row>
    <row r="9" spans="1:17" s="47" customFormat="1">
      <c r="A9" s="43" t="s">
        <v>67</v>
      </c>
      <c r="B9" s="54">
        <f>SUM('Strukturierung Daten Montana'!L23)</f>
        <v>0.32169500000000006</v>
      </c>
      <c r="C9" s="54">
        <f>SUM('Strukturierung Daten Montana'!M23)</f>
        <v>0.33074999999999999</v>
      </c>
      <c r="D9" s="54">
        <f>SUM('Strukturierung Daten Montana'!N23)</f>
        <v>0.35670000000000002</v>
      </c>
      <c r="E9" s="54">
        <f>SUM('Strukturierung Daten Montana'!C23)</f>
        <v>0.34082000000000007</v>
      </c>
      <c r="F9" s="54">
        <f>SUM('Strukturierung Daten Montana'!D23)</f>
        <v>0.31353500000000006</v>
      </c>
      <c r="G9" s="54">
        <f>SUM('Strukturierung Daten Montana'!E23)</f>
        <v>0.33632000000000006</v>
      </c>
      <c r="H9" s="54">
        <f>SUM('Strukturierung Daten Montana'!F23)</f>
        <v>0.31447500000000006</v>
      </c>
      <c r="I9" s="54">
        <f>SUM('Strukturierung Daten Montana'!G23)</f>
        <v>0.32019500000000006</v>
      </c>
      <c r="J9" s="54">
        <f>SUM('Strukturierung Daten Montana'!H23)</f>
        <v>0.35325000000000001</v>
      </c>
      <c r="K9" s="54">
        <f>SUM('Strukturierung Daten Montana'!I23)</f>
        <v>0.36420000000000002</v>
      </c>
      <c r="L9" s="54">
        <f>SUM('Strukturierung Daten Montana'!J23)</f>
        <v>0.36345</v>
      </c>
      <c r="M9" s="54">
        <f>SUM('Strukturierung Daten Montana'!K23)</f>
        <v>0.34312500000000001</v>
      </c>
      <c r="N9" s="50">
        <f>SUM(E9:M9)</f>
        <v>3.0493700000000001</v>
      </c>
      <c r="O9" s="46"/>
      <c r="P9" s="85"/>
      <c r="Q9" s="86"/>
    </row>
    <row r="10" spans="1:17" s="47" customFormat="1">
      <c r="A10" s="43" t="s">
        <v>70</v>
      </c>
      <c r="B10" s="54">
        <f>SUM('Strukturierung Daten Montana'!L39)</f>
        <v>0.32169500000000006</v>
      </c>
      <c r="C10" s="54">
        <f>SUM('Strukturierung Daten Montana'!M39)</f>
        <v>0.33074999999999999</v>
      </c>
      <c r="D10" s="54">
        <f>SUM('Strukturierung Daten Montana'!N39)</f>
        <v>0.35670000000000002</v>
      </c>
      <c r="E10" s="54">
        <f>SUM('Strukturierung Daten Montana'!C39)</f>
        <v>0.34082000000000007</v>
      </c>
      <c r="F10" s="54">
        <f>SUM('Strukturierung Daten Montana'!D39)</f>
        <v>0.31353500000000006</v>
      </c>
      <c r="G10" s="54">
        <f>SUM('Strukturierung Daten Montana'!E39)</f>
        <v>0.33632000000000006</v>
      </c>
      <c r="H10" s="54">
        <f>SUM('Strukturierung Daten Montana'!F39)</f>
        <v>0.31447500000000006</v>
      </c>
      <c r="I10" s="54">
        <f>SUM('Strukturierung Daten Montana'!G39)</f>
        <v>0.32019500000000006</v>
      </c>
      <c r="J10" s="54">
        <f>SUM('Strukturierung Daten Montana'!H39)</f>
        <v>0.35325000000000001</v>
      </c>
      <c r="K10" s="54">
        <f>SUM('Strukturierung Daten Montana'!I39)</f>
        <v>0.36420000000000002</v>
      </c>
      <c r="L10" s="54">
        <f>SUM('Strukturierung Daten Montana'!J39)</f>
        <v>0.36345</v>
      </c>
      <c r="M10" s="54">
        <f>SUM('Strukturierung Daten Montana'!K39)</f>
        <v>0.34312500000000001</v>
      </c>
      <c r="N10" s="50">
        <f>SUM(E10:M10)</f>
        <v>3.0493700000000001</v>
      </c>
      <c r="O10" s="46"/>
    </row>
    <row r="11" spans="1:17">
      <c r="A11" s="43" t="s">
        <v>69</v>
      </c>
      <c r="B11" s="49">
        <f>SUM('Strukturierung Daten Montana'!L31)</f>
        <v>0.2</v>
      </c>
      <c r="C11" s="49">
        <f>SUM('Strukturierung Daten Montana'!M31)</f>
        <v>0</v>
      </c>
      <c r="D11" s="49">
        <f>SUM('Strukturierung Daten Montana'!N31)</f>
        <v>0</v>
      </c>
      <c r="E11" s="49">
        <f>SUM('Strukturierung Daten Montana'!C31)</f>
        <v>0</v>
      </c>
      <c r="F11" s="49">
        <f>SUM('Strukturierung Daten Montana'!D31)</f>
        <v>0</v>
      </c>
      <c r="G11" s="49">
        <f>SUM('Strukturierung Daten Montana'!E31)</f>
        <v>0</v>
      </c>
      <c r="H11" s="49">
        <f>SUM('Strukturierung Daten Montana'!F31)</f>
        <v>0.14000000000000001</v>
      </c>
      <c r="I11" s="49">
        <f>SUM('Strukturierung Daten Montana'!G31)</f>
        <v>0.19</v>
      </c>
      <c r="J11" s="49">
        <f>SUM('Strukturierung Daten Montana'!H31)</f>
        <v>0.31</v>
      </c>
      <c r="K11" s="49">
        <f>SUM('Strukturierung Daten Montana'!I31)</f>
        <v>0.56000000000000005</v>
      </c>
      <c r="L11" s="49">
        <f>SUM('Strukturierung Daten Montana'!J31)</f>
        <v>0.6</v>
      </c>
      <c r="M11" s="49">
        <f>SUM('Strukturierung Daten Montana'!K31)</f>
        <v>0.46</v>
      </c>
      <c r="N11" s="50">
        <f>SUM(E11:M11)</f>
        <v>2.2600000000000002</v>
      </c>
      <c r="O11" s="51"/>
    </row>
    <row r="12" spans="1:17" s="47" customFormat="1" ht="24.75" customHeight="1">
      <c r="A12" s="43" t="s">
        <v>185</v>
      </c>
      <c r="B12" s="52">
        <f>SUM(B8:B11)</f>
        <v>1.6085484000000001</v>
      </c>
      <c r="C12" s="52">
        <f>SUM(C8:C11)</f>
        <v>1.4266584</v>
      </c>
      <c r="D12" s="52">
        <f>SUM(D8:D11)</f>
        <v>1.4785584000000001</v>
      </c>
      <c r="E12" s="52">
        <f>SUM(E8:E11)</f>
        <v>1.4467984000000003</v>
      </c>
      <c r="F12" s="52">
        <f t="shared" ref="F12:M12" si="0">SUM(F8:F11)</f>
        <v>1.3922284000000003</v>
      </c>
      <c r="G12" s="52">
        <f t="shared" si="0"/>
        <v>1.4377984000000001</v>
      </c>
      <c r="H12" s="52">
        <f t="shared" si="0"/>
        <v>1.5341084</v>
      </c>
      <c r="I12" s="52">
        <f t="shared" si="0"/>
        <v>1.5955484</v>
      </c>
      <c r="J12" s="52">
        <f t="shared" si="0"/>
        <v>1.7816584000000002</v>
      </c>
      <c r="K12" s="52">
        <f t="shared" si="0"/>
        <v>2.0535584</v>
      </c>
      <c r="L12" s="52">
        <f t="shared" si="0"/>
        <v>2.0920584</v>
      </c>
      <c r="M12" s="52">
        <f t="shared" si="0"/>
        <v>1.9114084</v>
      </c>
      <c r="N12" s="53">
        <f>SUM(E12:M12)</f>
        <v>15.2451656</v>
      </c>
      <c r="O12" s="46"/>
    </row>
    <row r="13" spans="1:17" s="47" customFormat="1"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  <c r="O13" s="46"/>
    </row>
    <row r="14" spans="1:17">
      <c r="A14" s="43" t="s">
        <v>186</v>
      </c>
      <c r="B14" s="56">
        <f>SUM('Strukturierung Daten Montana'!L57)</f>
        <v>4.0914516000000001</v>
      </c>
      <c r="C14" s="56">
        <f>SUM('Strukturierung Daten Montana'!M57)</f>
        <v>2.9023416000000006</v>
      </c>
      <c r="D14" s="56">
        <f>SUM('Strukturierung Daten Montana'!N57)</f>
        <v>1.3154416</v>
      </c>
      <c r="E14" s="56">
        <f>SUM('Strukturierung Daten Montana'!C57)</f>
        <v>0.38920159999999959</v>
      </c>
      <c r="F14" s="56">
        <f>SUM('Strukturierung Daten Montana'!D57)</f>
        <v>0.25477159999999976</v>
      </c>
      <c r="G14" s="56">
        <f>SUM('Strukturierung Daten Montana'!E57)</f>
        <v>0.49320159999999991</v>
      </c>
      <c r="H14" s="56">
        <f>SUM('Strukturierung Daten Montana'!F57)</f>
        <v>7.0428915999999999</v>
      </c>
      <c r="I14" s="56">
        <f>SUM('Strukturierung Daten Montana'!G57)</f>
        <v>19.491451600000001</v>
      </c>
      <c r="J14" s="56">
        <f>SUM('Strukturierung Daten Montana'!H57)</f>
        <v>37.244341599999998</v>
      </c>
      <c r="K14" s="56">
        <f>SUM('Strukturierung Daten Montana'!I57)</f>
        <v>31.2084416</v>
      </c>
      <c r="L14" s="56">
        <f>SUM('Strukturierung Daten Montana'!J57)</f>
        <v>15.9799416</v>
      </c>
      <c r="M14" s="56">
        <f>SUM('Strukturierung Daten Montana'!K57)</f>
        <v>6.3925916000000003</v>
      </c>
      <c r="N14" s="50"/>
      <c r="O14" s="51"/>
    </row>
    <row r="15" spans="1:17">
      <c r="A15" s="43" t="s">
        <v>259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>
        <f>SUM('Strukturierung Daten Montana'!K65)</f>
        <v>0</v>
      </c>
      <c r="O15" s="55"/>
      <c r="P15" s="86"/>
    </row>
    <row r="16" spans="1:17">
      <c r="A16" s="43" t="s">
        <v>187</v>
      </c>
      <c r="B16" s="56"/>
      <c r="C16" s="56"/>
      <c r="D16" s="56"/>
      <c r="E16" s="56"/>
      <c r="F16" s="56"/>
      <c r="G16" s="56"/>
      <c r="H16" s="56"/>
      <c r="I16" s="56">
        <f>SUM('Strukturierung Daten Montana'!G73)</f>
        <v>42.373344400000008</v>
      </c>
      <c r="J16" s="56"/>
      <c r="K16" s="56"/>
      <c r="L16" s="56"/>
      <c r="M16" s="56"/>
      <c r="O16" s="55"/>
      <c r="P16" s="86"/>
    </row>
    <row r="17" spans="1: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O17" s="55"/>
    </row>
    <row r="18" spans="1:17" s="38" customFormat="1" ht="15">
      <c r="A18" s="99" t="s">
        <v>183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1"/>
      <c r="O18" s="42"/>
    </row>
    <row r="19" spans="1:17" s="47" customFormat="1">
      <c r="A19" s="43" t="s">
        <v>56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5"/>
      <c r="O19" s="46"/>
    </row>
    <row r="20" spans="1:17">
      <c r="A20" s="48" t="s">
        <v>165</v>
      </c>
      <c r="B20" s="93">
        <f>SUM('Strukturierung Daten Montana'!L8)</f>
        <v>3.7</v>
      </c>
      <c r="C20" s="93">
        <f>SUM('Strukturierung Daten Montana'!M8)</f>
        <v>1.175</v>
      </c>
      <c r="D20" s="93">
        <f>SUM('Strukturierung Daten Montana'!N8)</f>
        <v>0.84099999999999997</v>
      </c>
      <c r="E20" s="93">
        <f>SUM('Strukturierung Daten Montana'!C8)</f>
        <v>1.1279999999999999</v>
      </c>
      <c r="F20" s="93">
        <f>SUM('Strukturierung Daten Montana'!D8)</f>
        <v>0.751</v>
      </c>
      <c r="G20" s="93">
        <f>SUM('Strukturierung Daten Montana'!E8)</f>
        <v>0.82499999999999996</v>
      </c>
      <c r="H20" s="93">
        <f>SUM('Strukturierung Daten Montana'!F8)</f>
        <v>6.6040000000000001</v>
      </c>
      <c r="I20" s="93">
        <f>SUM('Strukturierung Daten Montana'!G8)</f>
        <v>6.0259999999999998</v>
      </c>
      <c r="J20" s="93">
        <f>SUM('Strukturierung Daten Montana'!H8)</f>
        <v>8.6129999999999995</v>
      </c>
      <c r="K20" s="93">
        <f>SUM('Strukturierung Daten Montana'!I8)</f>
        <v>6.266</v>
      </c>
      <c r="L20" s="93">
        <f>SUM('Strukturierung Daten Montana'!J8)</f>
        <v>2.23</v>
      </c>
      <c r="M20" s="93">
        <f>SUM('Strukturierung Daten Montana'!K8)</f>
        <v>2.6949999999999998</v>
      </c>
      <c r="N20" s="50">
        <f>SUM(E20:M20)</f>
        <v>35.137999999999998</v>
      </c>
      <c r="O20" s="51"/>
    </row>
    <row r="21" spans="1:17" s="47" customFormat="1">
      <c r="A21" s="43" t="s">
        <v>66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3"/>
      <c r="O21" s="46"/>
      <c r="Q21" s="86"/>
    </row>
    <row r="22" spans="1:17" s="47" customFormat="1">
      <c r="A22" s="43" t="s">
        <v>258</v>
      </c>
      <c r="B22" s="52">
        <f>SUM('Strukturierung Daten Montana'!L19)</f>
        <v>0.76515840000000002</v>
      </c>
      <c r="C22" s="52">
        <f>SUM('Strukturierung Daten Montana'!M19)</f>
        <v>0.76515840000000002</v>
      </c>
      <c r="D22" s="52">
        <f>SUM('Strukturierung Daten Montana'!N19)</f>
        <v>0.76515840000000002</v>
      </c>
      <c r="E22" s="52">
        <f>SUM('Strukturierung Daten Montana'!C19)</f>
        <v>0.76515840000000002</v>
      </c>
      <c r="F22" s="52">
        <f>SUM('Strukturierung Daten Montana'!D19)</f>
        <v>0.76515840000000002</v>
      </c>
      <c r="G22" s="52">
        <f>SUM('Strukturierung Daten Montana'!E19)</f>
        <v>0.76515840000000002</v>
      </c>
      <c r="H22" s="52">
        <f>SUM('Strukturierung Daten Montana'!F19)</f>
        <v>0.76515840000000002</v>
      </c>
      <c r="I22" s="52">
        <f>SUM('Strukturierung Daten Montana'!G19)</f>
        <v>0.76515840000000002</v>
      </c>
      <c r="J22" s="52">
        <f>SUM('Strukturierung Daten Montana'!H19)</f>
        <v>0.76515840000000002</v>
      </c>
      <c r="K22" s="52">
        <f>SUM('Strukturierung Daten Montana'!I19)</f>
        <v>0.76515840000000002</v>
      </c>
      <c r="L22" s="52">
        <f>SUM('Strukturierung Daten Montana'!J19)</f>
        <v>0.76515840000000002</v>
      </c>
      <c r="M22" s="52">
        <f>SUM('Strukturierung Daten Montana'!K19)</f>
        <v>0.76515840000000002</v>
      </c>
      <c r="N22" s="102"/>
      <c r="O22" s="46"/>
      <c r="Q22" s="86"/>
    </row>
    <row r="23" spans="1:17" s="47" customFormat="1">
      <c r="A23" s="43" t="s">
        <v>67</v>
      </c>
      <c r="B23" s="54">
        <f>SUM('Strukturierung Daten Montana'!L24)</f>
        <v>0.32169500000000006</v>
      </c>
      <c r="C23" s="54">
        <f>SUM('Strukturierung Daten Montana'!M24)</f>
        <v>0.36359999999999998</v>
      </c>
      <c r="D23" s="54">
        <f>SUM('Strukturierung Daten Montana'!N24)</f>
        <v>0.39064500000000002</v>
      </c>
      <c r="E23" s="54">
        <f>SUM('Strukturierung Daten Montana'!C24)</f>
        <v>0.34082000000000007</v>
      </c>
      <c r="F23" s="54">
        <f>SUM('Strukturierung Daten Montana'!D24)</f>
        <v>0.31353500000000006</v>
      </c>
      <c r="G23" s="54">
        <f>SUM('Strukturierung Daten Montana'!E24)</f>
        <v>0.33632000000000006</v>
      </c>
      <c r="H23" s="54">
        <f>SUM('Strukturierung Daten Montana'!F24)</f>
        <v>0.31447500000000006</v>
      </c>
      <c r="I23" s="54">
        <f>SUM('Strukturierung Daten Montana'!G24)</f>
        <v>0.32019500000000006</v>
      </c>
      <c r="J23" s="54">
        <f>SUM('Strukturierung Daten Montana'!H24)</f>
        <v>0.3861</v>
      </c>
      <c r="K23" s="54">
        <f>SUM('Strukturierung Daten Montana'!I24)</f>
        <v>0.39814500000000003</v>
      </c>
      <c r="L23" s="54">
        <f>SUM('Strukturierung Daten Montana'!J24)</f>
        <v>0.397395</v>
      </c>
      <c r="M23" s="54">
        <f>SUM('Strukturierung Daten Montana'!K24)</f>
        <v>0.375975</v>
      </c>
      <c r="N23" s="50">
        <f>SUM(E23:M23)</f>
        <v>3.18296</v>
      </c>
      <c r="O23" s="46"/>
      <c r="P23" s="85"/>
      <c r="Q23" s="86"/>
    </row>
    <row r="24" spans="1:17" s="47" customFormat="1">
      <c r="A24" s="43" t="s">
        <v>70</v>
      </c>
      <c r="B24" s="54">
        <f>SUM('Strukturierung Daten Montana'!L40)</f>
        <v>0.32169500000000006</v>
      </c>
      <c r="C24" s="54">
        <f>SUM('Strukturierung Daten Montana'!M40)</f>
        <v>0.36359999999999998</v>
      </c>
      <c r="D24" s="54">
        <f>SUM('Strukturierung Daten Montana'!N40)</f>
        <v>0.39064500000000002</v>
      </c>
      <c r="E24" s="54">
        <f>SUM('Strukturierung Daten Montana'!C40)</f>
        <v>0.34082000000000007</v>
      </c>
      <c r="F24" s="54">
        <f>SUM('Strukturierung Daten Montana'!D40)</f>
        <v>0.31353500000000006</v>
      </c>
      <c r="G24" s="54">
        <f>SUM('Strukturierung Daten Montana'!E40)</f>
        <v>0.33632000000000006</v>
      </c>
      <c r="H24" s="54">
        <f>SUM('Strukturierung Daten Montana'!F40)</f>
        <v>0.31447500000000006</v>
      </c>
      <c r="I24" s="54">
        <f>SUM('Strukturierung Daten Montana'!G40)</f>
        <v>0.32019500000000006</v>
      </c>
      <c r="J24" s="54">
        <f>SUM('Strukturierung Daten Montana'!H40)</f>
        <v>0.3861</v>
      </c>
      <c r="K24" s="54">
        <f>SUM('Strukturierung Daten Montana'!I40)</f>
        <v>0.39814500000000003</v>
      </c>
      <c r="L24" s="54">
        <f>SUM('Strukturierung Daten Montana'!J40)</f>
        <v>0.397395</v>
      </c>
      <c r="M24" s="54">
        <f>SUM('Strukturierung Daten Montana'!K40)</f>
        <v>0.375975</v>
      </c>
      <c r="N24" s="50">
        <f>SUM(E24:M24)</f>
        <v>3.18296</v>
      </c>
      <c r="O24" s="46"/>
    </row>
    <row r="25" spans="1:17">
      <c r="A25" s="43" t="s">
        <v>69</v>
      </c>
      <c r="B25" s="49">
        <f>SUM('Strukturierung Daten Montana'!L32)</f>
        <v>0.6</v>
      </c>
      <c r="C25" s="49">
        <f>SUM('Strukturierung Daten Montana'!M32)</f>
        <v>0</v>
      </c>
      <c r="D25" s="49">
        <f>SUM('Strukturierung Daten Montana'!N32)</f>
        <v>0</v>
      </c>
      <c r="E25" s="49">
        <f>SUM('Strukturierung Daten Montana'!C32)</f>
        <v>0</v>
      </c>
      <c r="F25" s="49">
        <f>SUM('Strukturierung Daten Montana'!D32)</f>
        <v>0</v>
      </c>
      <c r="G25" s="49">
        <f>SUM('Strukturierung Daten Montana'!E32)</f>
        <v>0.1</v>
      </c>
      <c r="H25" s="49">
        <f>SUM('Strukturierung Daten Montana'!F32)</f>
        <v>0.495</v>
      </c>
      <c r="I25" s="49">
        <f>SUM('Strukturierung Daten Montana'!G32)</f>
        <v>0.41400000000000003</v>
      </c>
      <c r="J25" s="49">
        <f>SUM('Strukturierung Daten Montana'!H32)</f>
        <v>0.91</v>
      </c>
      <c r="K25" s="49">
        <f>SUM('Strukturierung Daten Montana'!I32)</f>
        <v>1.6870000000000001</v>
      </c>
      <c r="L25" s="49">
        <f>SUM('Strukturierung Daten Montana'!J32)</f>
        <v>1.7810000000000001</v>
      </c>
      <c r="M25" s="49">
        <f>SUM('Strukturierung Daten Montana'!K32)</f>
        <v>1.383</v>
      </c>
      <c r="N25" s="50">
        <f>SUM(E25:M25)</f>
        <v>6.7700000000000005</v>
      </c>
      <c r="O25" s="51"/>
    </row>
    <row r="26" spans="1:17" s="47" customFormat="1" ht="24.75" customHeight="1">
      <c r="A26" s="43" t="s">
        <v>185</v>
      </c>
      <c r="B26" s="52">
        <f>SUM(B22:B25)</f>
        <v>2.0085484</v>
      </c>
      <c r="C26" s="52">
        <f>SUM(C22:C25)</f>
        <v>1.4923583999999999</v>
      </c>
      <c r="D26" s="52">
        <f>SUM(D22:D25)</f>
        <v>1.5464484000000001</v>
      </c>
      <c r="E26" s="52">
        <f>SUM(E22:E25)</f>
        <v>1.4467984000000003</v>
      </c>
      <c r="F26" s="52">
        <f t="shared" ref="F26:M26" si="1">SUM(F22:F25)</f>
        <v>1.3922284000000003</v>
      </c>
      <c r="G26" s="52">
        <f t="shared" si="1"/>
        <v>1.5377984000000002</v>
      </c>
      <c r="H26" s="52">
        <f t="shared" si="1"/>
        <v>1.8891084</v>
      </c>
      <c r="I26" s="52">
        <f t="shared" si="1"/>
        <v>1.8195484</v>
      </c>
      <c r="J26" s="52">
        <f t="shared" si="1"/>
        <v>2.4473584000000002</v>
      </c>
      <c r="K26" s="52">
        <f t="shared" si="1"/>
        <v>3.2484484</v>
      </c>
      <c r="L26" s="52">
        <f t="shared" si="1"/>
        <v>3.3409484000000003</v>
      </c>
      <c r="M26" s="52">
        <f t="shared" si="1"/>
        <v>2.9001083999999997</v>
      </c>
      <c r="N26" s="53">
        <f>SUM(E26:M26)</f>
        <v>20.022345600000001</v>
      </c>
      <c r="O26" s="46"/>
    </row>
    <row r="27" spans="1:17">
      <c r="A27" s="43" t="s">
        <v>186</v>
      </c>
      <c r="B27" s="56">
        <f>SUM('Strukturierung Daten Montana'!L58)</f>
        <v>8.1914515999999988</v>
      </c>
      <c r="C27" s="56">
        <f>SUM('Strukturierung Daten Montana'!M58)</f>
        <v>1.6826416</v>
      </c>
      <c r="D27" s="56">
        <f>SUM('Strukturierung Daten Montana'!N58)</f>
        <v>1.2945516000000001</v>
      </c>
      <c r="E27" s="56">
        <f>SUM('Strukturierung Daten Montana'!C58)</f>
        <v>0.68120159999999985</v>
      </c>
      <c r="F27" s="56">
        <f>SUM('Strukturierung Daten Montana'!D58)</f>
        <v>0.55877159999999981</v>
      </c>
      <c r="G27" s="56">
        <f>SUM('Strukturierung Daten Montana'!E58)</f>
        <v>0.48720159999999968</v>
      </c>
      <c r="H27" s="56">
        <f>SUM('Strukturierung Daten Montana'!F58)</f>
        <v>9.2148915999999996</v>
      </c>
      <c r="I27" s="56">
        <f>SUM('Strukturierung Daten Montana'!G58)</f>
        <v>17.706451600000001</v>
      </c>
      <c r="J27" s="56">
        <f>SUM('Strukturierung Daten Montana'!H58)</f>
        <v>22.665641600000001</v>
      </c>
      <c r="K27" s="56">
        <f>SUM('Strukturierung Daten Montana'!I58)</f>
        <v>15.017551599999997</v>
      </c>
      <c r="L27" s="56">
        <f>SUM('Strukturierung Daten Montana'!J58)</f>
        <v>7.3890516000000002</v>
      </c>
      <c r="M27" s="56">
        <f>SUM('Strukturierung Daten Montana'!K58)</f>
        <v>7.7948915999999997</v>
      </c>
      <c r="N27" s="50"/>
      <c r="O27" s="51"/>
    </row>
    <row r="28" spans="1:17">
      <c r="A28" s="43" t="s">
        <v>259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>
        <f>SUM('Strukturierung Daten Montana'!K66)</f>
        <v>0</v>
      </c>
      <c r="O28" s="55"/>
      <c r="P28" s="86"/>
    </row>
    <row r="29" spans="1:17">
      <c r="A29" s="43" t="s">
        <v>187</v>
      </c>
      <c r="B29" s="56"/>
      <c r="C29" s="56"/>
      <c r="D29" s="56"/>
      <c r="E29" s="56"/>
      <c r="F29" s="56"/>
      <c r="G29" s="56"/>
      <c r="H29" s="56"/>
      <c r="I29" s="56">
        <f>SUM('Strukturierung Daten Montana'!G74)</f>
        <v>47.612054399999998</v>
      </c>
      <c r="J29" s="56"/>
      <c r="K29" s="56"/>
      <c r="L29" s="56"/>
      <c r="M29" s="56"/>
      <c r="O29" s="55"/>
      <c r="P29" s="86"/>
    </row>
    <row r="30" spans="1:17" s="48" customFormat="1">
      <c r="E30" s="58"/>
      <c r="O30" s="76"/>
    </row>
    <row r="31" spans="1:17" s="38" customFormat="1" ht="15">
      <c r="A31" s="99" t="s">
        <v>189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1"/>
      <c r="O31" s="42"/>
    </row>
    <row r="32" spans="1:17" s="47" customFormat="1">
      <c r="A32" s="43" t="s">
        <v>56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5"/>
      <c r="O32" s="46"/>
    </row>
    <row r="33" spans="1:17">
      <c r="A33" s="48" t="s">
        <v>165</v>
      </c>
      <c r="B33" s="93">
        <f>SUM('Strukturierung Daten Montana'!L10)</f>
        <v>2.823</v>
      </c>
      <c r="C33" s="93">
        <f>SUM('Strukturierung Daten Montana'!M10)</f>
        <v>2.2040000000000002</v>
      </c>
      <c r="D33" s="93">
        <f>SUM('Strukturierung Daten Montana'!N10)</f>
        <v>1.2130000000000001</v>
      </c>
      <c r="E33" s="93">
        <f>SUM('Strukturierung Daten Montana'!C10)</f>
        <v>0.91200000000000003</v>
      </c>
      <c r="F33" s="93">
        <f>SUM('Strukturierung Daten Montana'!D10)</f>
        <v>0.86599999999999999</v>
      </c>
      <c r="G33" s="93">
        <f>SUM('Strukturierung Daten Montana'!E10)</f>
        <v>0.87</v>
      </c>
      <c r="H33" s="93">
        <f>SUM('Strukturierung Daten Montana'!F10)</f>
        <v>4.2610000000000001</v>
      </c>
      <c r="I33" s="93">
        <f>SUM('Strukturierung Daten Montana'!G10)</f>
        <v>14.821</v>
      </c>
      <c r="J33" s="93">
        <f>SUM('Strukturierung Daten Montana'!H10)</f>
        <v>14.369</v>
      </c>
      <c r="K33" s="93">
        <f>SUM('Strukturierung Daten Montana'!I10)</f>
        <v>12.286</v>
      </c>
      <c r="L33" s="93">
        <f>SUM('Strukturierung Daten Montana'!J10)</f>
        <v>6.2140000000000004</v>
      </c>
      <c r="M33" s="93">
        <f>SUM('Strukturierung Daten Montana'!K10)</f>
        <v>3.2519999999999998</v>
      </c>
      <c r="N33" s="50">
        <f>SUM(E33:M33)</f>
        <v>57.851000000000006</v>
      </c>
      <c r="O33" s="51"/>
    </row>
    <row r="34" spans="1:17" s="47" customFormat="1">
      <c r="A34" s="43" t="s">
        <v>66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3"/>
      <c r="O34" s="46"/>
      <c r="Q34" s="86"/>
    </row>
    <row r="35" spans="1:17" s="47" customFormat="1">
      <c r="A35" s="43" t="s">
        <v>258</v>
      </c>
      <c r="B35" s="52">
        <f>SUM('Strukturierung Daten Montana'!L19)</f>
        <v>0.76515840000000002</v>
      </c>
      <c r="C35" s="52">
        <f>SUM('Strukturierung Daten Montana'!M19)</f>
        <v>0.76515840000000002</v>
      </c>
      <c r="D35" s="52">
        <f>SUM('Strukturierung Daten Montana'!N19)</f>
        <v>0.76515840000000002</v>
      </c>
      <c r="E35" s="52">
        <f>SUM('Strukturierung Daten Montana'!C19)</f>
        <v>0.76515840000000002</v>
      </c>
      <c r="F35" s="52">
        <f>SUM('Strukturierung Daten Montana'!D19)</f>
        <v>0.76515840000000002</v>
      </c>
      <c r="G35" s="52">
        <f>SUM('Strukturierung Daten Montana'!E19)</f>
        <v>0.76515840000000002</v>
      </c>
      <c r="H35" s="52">
        <f>SUM('Strukturierung Daten Montana'!F19)</f>
        <v>0.76515840000000002</v>
      </c>
      <c r="I35" s="52">
        <f>SUM('Strukturierung Daten Montana'!G19)</f>
        <v>0.76515840000000002</v>
      </c>
      <c r="J35" s="52">
        <f>SUM('Strukturierung Daten Montana'!H19)</f>
        <v>0.76515840000000002</v>
      </c>
      <c r="K35" s="52">
        <f>SUM('Strukturierung Daten Montana'!I19)</f>
        <v>0.76515840000000002</v>
      </c>
      <c r="L35" s="52">
        <f>SUM('Strukturierung Daten Montana'!J19)</f>
        <v>0.76515840000000002</v>
      </c>
      <c r="M35" s="52">
        <f>SUM('Strukturierung Daten Montana'!K19)</f>
        <v>0.76515840000000002</v>
      </c>
      <c r="N35" s="102"/>
      <c r="O35" s="46"/>
      <c r="Q35" s="86"/>
    </row>
    <row r="36" spans="1:17" s="47" customFormat="1">
      <c r="A36" s="43" t="s">
        <v>67</v>
      </c>
      <c r="B36" s="54">
        <f>SUM('Strukturierung Daten Montana'!L25)</f>
        <v>0.39614769999999999</v>
      </c>
      <c r="C36" s="54">
        <f>SUM('Strukturierung Daten Montana'!M25)</f>
        <v>0.41002800000000006</v>
      </c>
      <c r="D36" s="54">
        <f>SUM('Strukturierung Daten Montana'!N25)</f>
        <v>0.43862060000000008</v>
      </c>
      <c r="E36" s="54">
        <f>SUM('Strukturierung Daten Montana'!C25)</f>
        <v>0.41527269999999999</v>
      </c>
      <c r="F36" s="54">
        <f>SUM('Strukturierung Daten Montana'!D25)</f>
        <v>0.38078260000000003</v>
      </c>
      <c r="G36" s="54">
        <f>SUM('Strukturierung Daten Montana'!E25)</f>
        <v>0.41077269999999999</v>
      </c>
      <c r="H36" s="54">
        <f>SUM('Strukturierung Daten Montana'!F25)</f>
        <v>0.38652599999999998</v>
      </c>
      <c r="I36" s="54">
        <f>SUM('Strukturierung Daten Montana'!G25)</f>
        <v>0.39464769999999999</v>
      </c>
      <c r="J36" s="54">
        <f>SUM('Strukturierung Daten Montana'!H25)</f>
        <v>0.43252800000000008</v>
      </c>
      <c r="K36" s="54">
        <f>SUM('Strukturierung Daten Montana'!I25)</f>
        <v>0.44612060000000009</v>
      </c>
      <c r="L36" s="54">
        <f>SUM('Strukturierung Daten Montana'!J25)</f>
        <v>0.44537060000000012</v>
      </c>
      <c r="M36" s="54">
        <f>SUM('Strukturierung Daten Montana'!K25)</f>
        <v>0.42240300000000008</v>
      </c>
      <c r="N36" s="50">
        <f>SUM(E36:M36)</f>
        <v>3.7344238999999999</v>
      </c>
      <c r="O36" s="46"/>
      <c r="P36" s="85"/>
      <c r="Q36" s="86"/>
    </row>
    <row r="37" spans="1:17" s="47" customFormat="1">
      <c r="A37" s="43" t="s">
        <v>70</v>
      </c>
      <c r="B37" s="54">
        <f>SUM('Strukturierung Daten Montana'!L41)</f>
        <v>0.39614769999999999</v>
      </c>
      <c r="C37" s="54">
        <f>SUM('Strukturierung Daten Montana'!M41)</f>
        <v>0.41002800000000006</v>
      </c>
      <c r="D37" s="54">
        <f>SUM('Strukturierung Daten Montana'!N41)</f>
        <v>0.43862060000000008</v>
      </c>
      <c r="E37" s="54">
        <f>SUM('Strukturierung Daten Montana'!C41)</f>
        <v>0.41527269999999999</v>
      </c>
      <c r="F37" s="54">
        <f>SUM('Strukturierung Daten Montana'!D41)</f>
        <v>0.38078260000000003</v>
      </c>
      <c r="G37" s="54">
        <f>SUM('Strukturierung Daten Montana'!E41)</f>
        <v>0.41077269999999999</v>
      </c>
      <c r="H37" s="54">
        <f>SUM('Strukturierung Daten Montana'!F41)</f>
        <v>0.38652599999999998</v>
      </c>
      <c r="I37" s="54">
        <f>SUM('Strukturierung Daten Montana'!G41)</f>
        <v>0.39464769999999999</v>
      </c>
      <c r="J37" s="54">
        <f>SUM('Strukturierung Daten Montana'!H41)</f>
        <v>0.43252800000000008</v>
      </c>
      <c r="K37" s="54">
        <f>SUM('Strukturierung Daten Montana'!I41)</f>
        <v>0.44612060000000009</v>
      </c>
      <c r="L37" s="54">
        <f>SUM('Strukturierung Daten Montana'!J41)</f>
        <v>0.44537060000000012</v>
      </c>
      <c r="M37" s="54">
        <f>SUM('Strukturierung Daten Montana'!K41)</f>
        <v>0.42240300000000008</v>
      </c>
      <c r="N37" s="50">
        <f>SUM(E37:M37)</f>
        <v>3.7344238999999999</v>
      </c>
      <c r="O37" s="46"/>
    </row>
    <row r="38" spans="1:17">
      <c r="A38" s="43" t="s">
        <v>69</v>
      </c>
      <c r="B38" s="49">
        <f>SUM('Strukturierung Daten Montana'!L33)</f>
        <v>0.26500000000000001</v>
      </c>
      <c r="C38" s="49">
        <f>SUM('Strukturierung Daten Montana'!M33)</f>
        <v>0</v>
      </c>
      <c r="D38" s="49">
        <f>SUM('Strukturierung Daten Montana'!N33)</f>
        <v>0</v>
      </c>
      <c r="E38" s="49">
        <f>SUM('Strukturierung Daten Montana'!C33)</f>
        <v>0</v>
      </c>
      <c r="F38" s="49">
        <f>SUM('Strukturierung Daten Montana'!D33)</f>
        <v>0</v>
      </c>
      <c r="G38" s="49">
        <f>SUM('Strukturierung Daten Montana'!E33)</f>
        <v>0</v>
      </c>
      <c r="H38" s="49">
        <f>SUM('Strukturierung Daten Montana'!F33)</f>
        <v>0.1855</v>
      </c>
      <c r="I38" s="49">
        <f>SUM('Strukturierung Daten Montana'!G33)</f>
        <v>0.25174999999999997</v>
      </c>
      <c r="J38" s="49">
        <f>SUM('Strukturierung Daten Montana'!H33)</f>
        <v>0.41075</v>
      </c>
      <c r="K38" s="49">
        <f>SUM('Strukturierung Daten Montana'!I33)</f>
        <v>0.74199999999999999</v>
      </c>
      <c r="L38" s="49">
        <f>SUM('Strukturierung Daten Montana'!J33)</f>
        <v>0.79499999999999993</v>
      </c>
      <c r="M38" s="49">
        <f>SUM('Strukturierung Daten Montana'!K33)</f>
        <v>0.60950000000000004</v>
      </c>
      <c r="N38" s="50">
        <f>SUM(E38:M38)</f>
        <v>2.9944999999999999</v>
      </c>
      <c r="O38" s="51"/>
    </row>
    <row r="39" spans="1:17" s="47" customFormat="1" ht="24.75" customHeight="1">
      <c r="A39" s="43" t="s">
        <v>185</v>
      </c>
      <c r="B39" s="52">
        <f>SUM(B35:B38)</f>
        <v>1.8224537999999999</v>
      </c>
      <c r="C39" s="52">
        <f>SUM(C35:C38)</f>
        <v>1.5852144000000001</v>
      </c>
      <c r="D39" s="52">
        <f>SUM(D35:D38)</f>
        <v>1.6423996000000003</v>
      </c>
      <c r="E39" s="52">
        <f>SUM(E35:E38)</f>
        <v>1.5957038000000001</v>
      </c>
      <c r="F39" s="52">
        <f t="shared" ref="F39:M39" si="2">SUM(F35:F38)</f>
        <v>1.5267236000000002</v>
      </c>
      <c r="G39" s="52">
        <f t="shared" si="2"/>
        <v>1.5867038</v>
      </c>
      <c r="H39" s="52">
        <f t="shared" si="2"/>
        <v>1.7237103999999999</v>
      </c>
      <c r="I39" s="52">
        <f t="shared" si="2"/>
        <v>1.8062037999999998</v>
      </c>
      <c r="J39" s="52">
        <f t="shared" si="2"/>
        <v>2.0409644</v>
      </c>
      <c r="K39" s="52">
        <f t="shared" si="2"/>
        <v>2.3993996000000002</v>
      </c>
      <c r="L39" s="52">
        <f t="shared" si="2"/>
        <v>2.4508996000000005</v>
      </c>
      <c r="M39" s="52">
        <f t="shared" si="2"/>
        <v>2.2194644000000001</v>
      </c>
      <c r="N39" s="53">
        <f>SUM(E39:M39)</f>
        <v>17.3497734</v>
      </c>
      <c r="O39" s="46"/>
    </row>
    <row r="40" spans="1:17">
      <c r="A40" s="43" t="s">
        <v>186</v>
      </c>
      <c r="B40" s="56">
        <f>SUM('Strukturierung Daten Montana'!L59)</f>
        <v>4.0005462000000005</v>
      </c>
      <c r="C40" s="56">
        <f>SUM('Strukturierung Daten Montana'!M59)</f>
        <v>2.6187856000000007</v>
      </c>
      <c r="D40" s="56">
        <f>SUM('Strukturierung Daten Montana'!N59)</f>
        <v>1.0706003999999998</v>
      </c>
      <c r="E40" s="56">
        <f>SUM('Strukturierung Daten Montana'!C59)</f>
        <v>0.31629619999999981</v>
      </c>
      <c r="F40" s="56">
        <f>SUM('Strukturierung Daten Montana'!D59)</f>
        <v>0.33927639999999992</v>
      </c>
      <c r="G40" s="56">
        <f>SUM('Strukturierung Daten Montana'!E59)</f>
        <v>0.48329619999999984</v>
      </c>
      <c r="H40" s="56">
        <f>SUM('Strukturierung Daten Montana'!F59)</f>
        <v>6.5372895999999994</v>
      </c>
      <c r="I40" s="56">
        <f>SUM('Strukturierung Daten Montana'!G59)</f>
        <v>21.014796199999999</v>
      </c>
      <c r="J40" s="56">
        <f>SUM('Strukturierung Daten Montana'!H59)</f>
        <v>37.3280356</v>
      </c>
      <c r="K40" s="56">
        <f>SUM('Strukturierung Daten Montana'!I59)</f>
        <v>29.886600400000003</v>
      </c>
      <c r="L40" s="56">
        <f>SUM('Strukturierung Daten Montana'!J59)</f>
        <v>14.763100399999999</v>
      </c>
      <c r="M40" s="56">
        <f>SUM('Strukturierung Daten Montana'!K59)</f>
        <v>6.2325356000000003</v>
      </c>
      <c r="N40" s="50"/>
      <c r="O40" s="51"/>
    </row>
    <row r="41" spans="1:17">
      <c r="A41" s="43" t="s">
        <v>259</v>
      </c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>
        <f>SUM('Strukturierung Daten Montana'!K67)</f>
        <v>0</v>
      </c>
      <c r="O41" s="55"/>
      <c r="P41" s="86"/>
    </row>
    <row r="42" spans="1:17">
      <c r="A42" s="43" t="s">
        <v>187</v>
      </c>
      <c r="B42" s="56"/>
      <c r="C42" s="56"/>
      <c r="D42" s="56"/>
      <c r="E42" s="56"/>
      <c r="F42" s="56"/>
      <c r="G42" s="56"/>
      <c r="H42" s="56"/>
      <c r="I42" s="56">
        <f>SUM('Strukturierung Daten Montana'!G75)</f>
        <v>42.613422399999997</v>
      </c>
      <c r="J42" s="56"/>
      <c r="K42" s="56"/>
      <c r="L42" s="56"/>
      <c r="M42" s="56"/>
      <c r="O42" s="55"/>
      <c r="P42" s="86"/>
    </row>
    <row r="43" spans="1:17" s="48" customFormat="1">
      <c r="E43" s="58"/>
      <c r="O43" s="76"/>
    </row>
    <row r="44" spans="1:17" s="38" customFormat="1" ht="15">
      <c r="A44" s="99" t="s">
        <v>294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1"/>
      <c r="O44" s="42"/>
    </row>
    <row r="45" spans="1:17" s="47" customFormat="1">
      <c r="A45" s="43" t="s">
        <v>56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5"/>
      <c r="O45" s="46"/>
    </row>
    <row r="46" spans="1:17" s="47" customFormat="1">
      <c r="A46" s="133" t="s">
        <v>285</v>
      </c>
      <c r="B46" s="93">
        <f>SUM('Strukturierung Daten Montana'!L11)</f>
        <v>6.5</v>
      </c>
      <c r="C46" s="93">
        <f>SUM('Strukturierung Daten Montana'!M11)</f>
        <v>2</v>
      </c>
      <c r="D46" s="93">
        <f>SUM('Strukturierung Daten Montana'!N11)</f>
        <v>2</v>
      </c>
      <c r="E46" s="93">
        <f>SUM('Strukturierung Daten Montana'!C11)</f>
        <v>0</v>
      </c>
      <c r="F46" s="93">
        <f>SUM('Strukturierung Daten Montana'!D11)</f>
        <v>1.2</v>
      </c>
      <c r="G46" s="93">
        <f>SUM('Strukturierung Daten Montana'!E11)</f>
        <v>1.2</v>
      </c>
      <c r="H46" s="93">
        <f>SUM('Strukturierung Daten Montana'!F11)</f>
        <v>4.5</v>
      </c>
      <c r="I46" s="93">
        <f>SUM('Strukturierung Daten Montana'!G11)</f>
        <v>13.5</v>
      </c>
      <c r="J46" s="93">
        <f>SUM('Strukturierung Daten Montana'!H11)</f>
        <v>16.5</v>
      </c>
      <c r="K46" s="93">
        <f>SUM('Strukturierung Daten Montana'!I11)</f>
        <v>12</v>
      </c>
      <c r="L46" s="93">
        <f>SUM('Strukturierung Daten Montana'!J11)</f>
        <v>8.5</v>
      </c>
      <c r="M46" s="93">
        <f>SUM('Strukturierung Daten Montana'!K11)</f>
        <v>8</v>
      </c>
      <c r="N46" s="50">
        <f>SUM(B46:M46)</f>
        <v>75.900000000000006</v>
      </c>
      <c r="O46" s="46"/>
    </row>
    <row r="47" spans="1:17">
      <c r="A47" s="48" t="s">
        <v>165</v>
      </c>
      <c r="B47" s="93">
        <f>SUM('Strukturierung Daten Montana'!L12)</f>
        <v>4.718</v>
      </c>
      <c r="C47" s="93">
        <f>SUM('Strukturierung Daten Montana'!M12)</f>
        <v>0.98699999999999999</v>
      </c>
      <c r="D47" s="93">
        <f>SUM('Strukturierung Daten Montana'!N12)</f>
        <v>0.74099999999999999</v>
      </c>
      <c r="E47" s="93">
        <f>SUM('Strukturierung Daten Montana'!C12)</f>
        <v>0.91200000000000003</v>
      </c>
      <c r="F47" s="93">
        <f>SUM('Strukturierung Daten Montana'!D12)</f>
        <v>0.86599999999999999</v>
      </c>
      <c r="G47" s="93">
        <f>SUM('Strukturierung Daten Montana'!E12)</f>
        <v>0.87</v>
      </c>
      <c r="H47" s="93">
        <f>SUM('Strukturierung Daten Montana'!F12)</f>
        <v>4.2610000000000001</v>
      </c>
      <c r="I47" s="93">
        <f>SUM('Strukturierung Daten Montana'!G12)</f>
        <v>6.125</v>
      </c>
      <c r="J47" s="93">
        <f>SUM('Strukturierung Daten Montana'!H12)</f>
        <v>9.3680000000000003</v>
      </c>
      <c r="K47" s="93">
        <f>SUM('Strukturierung Daten Montana'!I12)</f>
        <v>5.734</v>
      </c>
      <c r="L47" s="93">
        <f>SUM('Strukturierung Daten Montana'!J12)</f>
        <v>1.998</v>
      </c>
      <c r="M47" s="93">
        <f>SUM('Strukturierung Daten Montana'!K12)</f>
        <v>3.0259999999999998</v>
      </c>
      <c r="N47" s="50">
        <f>SUM(B47:M47)</f>
        <v>39.605999999999995</v>
      </c>
      <c r="O47" s="51"/>
    </row>
    <row r="48" spans="1:17" s="47" customFormat="1">
      <c r="A48" s="43" t="s">
        <v>66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46"/>
      <c r="Q48" s="86"/>
    </row>
    <row r="49" spans="1:17" s="47" customFormat="1">
      <c r="A49" s="43" t="s">
        <v>296</v>
      </c>
      <c r="B49" s="52">
        <f>SUM('Strukturierung Daten Montana'!L19)</f>
        <v>0.76515840000000002</v>
      </c>
      <c r="C49" s="52">
        <f>SUM('Strukturierung Daten Montana'!M19)</f>
        <v>0.76515840000000002</v>
      </c>
      <c r="D49" s="52">
        <f>SUM('Strukturierung Daten Montana'!N19)</f>
        <v>0.76515840000000002</v>
      </c>
      <c r="E49" s="52">
        <f>SUM('Strukturierung Daten Montana'!C19)</f>
        <v>0.76515840000000002</v>
      </c>
      <c r="F49" s="52">
        <f>SUM('Strukturierung Daten Montana'!D19)</f>
        <v>0.76515840000000002</v>
      </c>
      <c r="G49" s="52">
        <f>SUM('Strukturierung Daten Montana'!E19)</f>
        <v>0.76515840000000002</v>
      </c>
      <c r="H49" s="52">
        <f>SUM('Strukturierung Daten Montana'!F19)</f>
        <v>0.76515840000000002</v>
      </c>
      <c r="I49" s="52">
        <f>SUM('Strukturierung Daten Montana'!G19)</f>
        <v>0.76515840000000002</v>
      </c>
      <c r="J49" s="52">
        <f>SUM('Strukturierung Daten Montana'!H19)</f>
        <v>0.76515840000000002</v>
      </c>
      <c r="K49" s="52">
        <f>SUM('Strukturierung Daten Montana'!I19)</f>
        <v>0.76515840000000002</v>
      </c>
      <c r="L49" s="52">
        <f>SUM('Strukturierung Daten Montana'!J19)</f>
        <v>0.76515840000000002</v>
      </c>
      <c r="M49" s="52">
        <f>SUM('Strukturierung Daten Montana'!K19)</f>
        <v>0.76515840000000002</v>
      </c>
      <c r="N49" s="102"/>
      <c r="O49" s="46"/>
      <c r="Q49" s="86"/>
    </row>
    <row r="50" spans="1:17" s="47" customFormat="1">
      <c r="A50" s="43" t="s">
        <v>67</v>
      </c>
      <c r="B50" s="54">
        <f>SUM('Strukturierung Daten Montana'!L26)</f>
        <v>0.39614769999999999</v>
      </c>
      <c r="C50" s="54">
        <f>SUM('Strukturierung Daten Montana'!M26)</f>
        <v>0.45371850000000002</v>
      </c>
      <c r="D50" s="54">
        <f>SUM('Strukturierung Daten Montana'!N26)</f>
        <v>0.48376744999999999</v>
      </c>
      <c r="E50" s="54">
        <f>SUM('Strukturierung Daten Montana'!C26)</f>
        <v>0.41527269999999999</v>
      </c>
      <c r="F50" s="54">
        <f>SUM('Strukturierung Daten Montana'!D26)</f>
        <v>0.38078260000000003</v>
      </c>
      <c r="G50" s="54">
        <f>SUM('Strukturierung Daten Montana'!E26)</f>
        <v>0.41077269999999999</v>
      </c>
      <c r="H50" s="54">
        <f>SUM('Strukturierung Daten Montana'!F26)</f>
        <v>0.38652599999999998</v>
      </c>
      <c r="I50" s="54">
        <f>SUM('Strukturierung Daten Montana'!G26)</f>
        <v>0.39464769999999999</v>
      </c>
      <c r="J50" s="54">
        <f>SUM('Strukturierung Daten Montana'!H26)</f>
        <v>0.47621849999999999</v>
      </c>
      <c r="K50" s="54">
        <f>SUM('Strukturierung Daten Montana'!I26)</f>
        <v>0.49126744999999999</v>
      </c>
      <c r="L50" s="54">
        <f>SUM('Strukturierung Daten Montana'!J26)</f>
        <v>0.49051745000000002</v>
      </c>
      <c r="M50" s="54">
        <f>SUM('Strukturierung Daten Montana'!K26)</f>
        <v>0.46609349999999999</v>
      </c>
      <c r="N50" s="50">
        <f t="shared" ref="N50:N52" si="3">SUM(B50:M50)</f>
        <v>5.2457322500000005</v>
      </c>
      <c r="O50" s="46"/>
      <c r="P50" s="85"/>
      <c r="Q50" s="86"/>
    </row>
    <row r="51" spans="1:17" s="47" customFormat="1">
      <c r="A51" s="43" t="s">
        <v>70</v>
      </c>
      <c r="B51" s="54">
        <f>SUM('Strukturierung Daten Montana'!L42)</f>
        <v>0.39614769999999999</v>
      </c>
      <c r="C51" s="54">
        <f>SUM('Strukturierung Daten Montana'!M42)</f>
        <v>0.45371850000000002</v>
      </c>
      <c r="D51" s="54">
        <f>SUM('Strukturierung Daten Montana'!N42)</f>
        <v>0.48376744999999999</v>
      </c>
      <c r="E51" s="54">
        <f>SUM('Strukturierung Daten Montana'!C42)</f>
        <v>0.41527269999999999</v>
      </c>
      <c r="F51" s="54">
        <f>SUM('Strukturierung Daten Montana'!D42)</f>
        <v>0.38078260000000003</v>
      </c>
      <c r="G51" s="54">
        <f>SUM('Strukturierung Daten Montana'!E42)</f>
        <v>0.41077269999999999</v>
      </c>
      <c r="H51" s="54">
        <f>SUM('Strukturierung Daten Montana'!F42)</f>
        <v>0.38652599999999998</v>
      </c>
      <c r="I51" s="54">
        <f>SUM('Strukturierung Daten Montana'!G42)</f>
        <v>0.39464769999999999</v>
      </c>
      <c r="J51" s="54">
        <f>SUM('Strukturierung Daten Montana'!H42)</f>
        <v>0.47621849999999999</v>
      </c>
      <c r="K51" s="54">
        <f>SUM('Strukturierung Daten Montana'!I42)</f>
        <v>0.49126744999999999</v>
      </c>
      <c r="L51" s="54">
        <f>SUM('Strukturierung Daten Montana'!J42)</f>
        <v>0.49051745000000002</v>
      </c>
      <c r="M51" s="54">
        <f>SUM('Strukturierung Daten Montana'!K42)</f>
        <v>0.46609349999999999</v>
      </c>
      <c r="N51" s="50">
        <f t="shared" si="3"/>
        <v>5.2457322500000005</v>
      </c>
      <c r="O51" s="46"/>
    </row>
    <row r="52" spans="1:17">
      <c r="A52" s="43" t="s">
        <v>69</v>
      </c>
      <c r="B52" s="49">
        <f>SUM('Strukturierung Daten Montana'!L34)</f>
        <v>0.79499999999999993</v>
      </c>
      <c r="C52" s="49">
        <f>SUM('Strukturierung Daten Montana'!M34)</f>
        <v>0</v>
      </c>
      <c r="D52" s="49">
        <f>SUM('Strukturierung Daten Montana'!N34)</f>
        <v>0</v>
      </c>
      <c r="E52" s="49">
        <f>SUM('Strukturierung Daten Montana'!C34)</f>
        <v>0</v>
      </c>
      <c r="F52" s="49">
        <f>SUM('Strukturierung Daten Montana'!D34)</f>
        <v>0</v>
      </c>
      <c r="G52" s="49">
        <f>SUM('Strukturierung Daten Montana'!E34)</f>
        <v>0.13250000000000001</v>
      </c>
      <c r="H52" s="49">
        <f>SUM('Strukturierung Daten Montana'!F34)</f>
        <v>0.65587499999999999</v>
      </c>
      <c r="I52" s="49">
        <f>SUM('Strukturierung Daten Montana'!G34)</f>
        <v>0.54854999999999998</v>
      </c>
      <c r="J52" s="49">
        <f>SUM('Strukturierung Daten Montana'!H34)</f>
        <v>1.2057500000000001</v>
      </c>
      <c r="K52" s="49">
        <f>SUM('Strukturierung Daten Montana'!I34)</f>
        <v>2.2352750000000001</v>
      </c>
      <c r="L52" s="49">
        <f>SUM('Strukturierung Daten Montana'!J34)</f>
        <v>2.3598250000000003</v>
      </c>
      <c r="M52" s="49">
        <f>SUM('Strukturierung Daten Montana'!K34)</f>
        <v>1.8324749999999999</v>
      </c>
      <c r="N52" s="50">
        <f t="shared" si="3"/>
        <v>9.7652500000000018</v>
      </c>
      <c r="O52" s="51"/>
    </row>
    <row r="53" spans="1:17" s="47" customFormat="1" ht="24.75" customHeight="1">
      <c r="A53" s="43" t="s">
        <v>185</v>
      </c>
      <c r="B53" s="52">
        <f>SUM(B49:B52)</f>
        <v>2.3524538000000002</v>
      </c>
      <c r="C53" s="52">
        <f>SUM(C49:C52)</f>
        <v>1.6725954000000001</v>
      </c>
      <c r="D53" s="52">
        <f>SUM(D49:D52)</f>
        <v>1.7326933</v>
      </c>
      <c r="E53" s="52">
        <f>SUM(E49:E52)</f>
        <v>1.5957038000000001</v>
      </c>
      <c r="F53" s="52">
        <f t="shared" ref="F53:M53" si="4">SUM(F49:F52)</f>
        <v>1.5267236000000002</v>
      </c>
      <c r="G53" s="52">
        <f t="shared" si="4"/>
        <v>1.7192038000000001</v>
      </c>
      <c r="H53" s="52">
        <f t="shared" si="4"/>
        <v>2.1940853999999996</v>
      </c>
      <c r="I53" s="52">
        <f t="shared" si="4"/>
        <v>2.1030037999999998</v>
      </c>
      <c r="J53" s="52">
        <f t="shared" si="4"/>
        <v>2.9233454000000001</v>
      </c>
      <c r="K53" s="52">
        <f t="shared" si="4"/>
        <v>3.9829683000000005</v>
      </c>
      <c r="L53" s="52">
        <f t="shared" si="4"/>
        <v>4.1060183000000006</v>
      </c>
      <c r="M53" s="52">
        <f t="shared" si="4"/>
        <v>3.5298203999999997</v>
      </c>
      <c r="N53" s="53">
        <f>SUM(B53:M53)</f>
        <v>29.438615299999995</v>
      </c>
      <c r="O53" s="46"/>
    </row>
    <row r="54" spans="1:17">
      <c r="A54" s="43" t="s">
        <v>186</v>
      </c>
      <c r="B54" s="56">
        <f>SUM('Strukturierung Daten Montana'!L60)</f>
        <v>8.8655462000000007</v>
      </c>
      <c r="C54" s="56">
        <f>SUM('Strukturierung Daten Montana'!M60)</f>
        <v>1.3144046</v>
      </c>
      <c r="D54" s="56">
        <f>SUM('Strukturierung Daten Montana'!N60)</f>
        <v>1.0083067000000001</v>
      </c>
      <c r="E54" s="56">
        <f>SUM('Strukturierung Daten Montana'!C60)</f>
        <v>-0.68370380000000008</v>
      </c>
      <c r="F54" s="56">
        <f>SUM('Strukturierung Daten Montana'!D60)</f>
        <v>0.53927639999999966</v>
      </c>
      <c r="G54" s="56">
        <f>SUM('Strukturierung Daten Montana'!E60)</f>
        <v>0.35079619999999956</v>
      </c>
      <c r="H54" s="56">
        <f>SUM('Strukturierung Daten Montana'!F60)</f>
        <v>6.5669145999999987</v>
      </c>
      <c r="I54" s="56">
        <f>SUM('Strukturierung Daten Montana'!G60)</f>
        <v>17.5219962</v>
      </c>
      <c r="J54" s="56">
        <f>SUM('Strukturierung Daten Montana'!H60)</f>
        <v>22.944654600000003</v>
      </c>
      <c r="K54" s="56">
        <f>SUM('Strukturierung Daten Montana'!I60)</f>
        <v>13.751031700000002</v>
      </c>
      <c r="L54" s="56">
        <f>SUM('Strukturierung Daten Montana'!J60)</f>
        <v>6.3919816999999988</v>
      </c>
      <c r="M54" s="56">
        <f>SUM('Strukturierung Daten Montana'!K60)</f>
        <v>7.4961795999999996</v>
      </c>
      <c r="N54" s="50"/>
      <c r="O54" s="51"/>
    </row>
    <row r="55" spans="1:17">
      <c r="A55" s="43" t="s">
        <v>259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>
        <f>SUM('Strukturierung Daten Montana'!K68)</f>
        <v>-0.68370380000000008</v>
      </c>
      <c r="O55" s="55"/>
      <c r="P55" s="86"/>
    </row>
    <row r="56" spans="1:17">
      <c r="A56" s="43" t="s">
        <v>187</v>
      </c>
      <c r="B56" s="56"/>
      <c r="C56" s="56"/>
      <c r="D56" s="56"/>
      <c r="E56" s="56"/>
      <c r="F56" s="56"/>
      <c r="G56" s="56"/>
      <c r="H56" s="56"/>
      <c r="I56" s="56">
        <f>SUM('Strukturierung Daten Montana'!G76)</f>
        <v>43.663420500000001</v>
      </c>
      <c r="J56" s="56"/>
      <c r="K56" s="56"/>
      <c r="L56" s="56"/>
      <c r="M56" s="56"/>
      <c r="O56" s="55"/>
      <c r="P56" s="86"/>
    </row>
    <row r="57" spans="1:17" s="48" customFormat="1">
      <c r="E57" s="58"/>
      <c r="O57" s="76"/>
    </row>
    <row r="58" spans="1:17" s="38" customFormat="1" ht="15">
      <c r="A58" s="99" t="s">
        <v>260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1"/>
      <c r="O58" s="42"/>
    </row>
    <row r="59" spans="1:17" s="47" customFormat="1">
      <c r="A59" s="43" t="s">
        <v>56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/>
      <c r="O59" s="46"/>
    </row>
    <row r="60" spans="1:17" s="47" customFormat="1">
      <c r="A60" s="133" t="s">
        <v>285</v>
      </c>
      <c r="B60" s="93">
        <f>SUM('Strukturierung Daten Montana'!L13)</f>
        <v>2.7</v>
      </c>
      <c r="C60" s="93">
        <f>SUM('Strukturierung Daten Montana'!M13)</f>
        <v>2.1</v>
      </c>
      <c r="D60" s="93">
        <f>SUM('Strukturierung Daten Montana'!N13)</f>
        <v>1.5750000000000002</v>
      </c>
      <c r="E60" s="93">
        <f>SUM('Strukturierung Daten Montana'!C13)</f>
        <v>0</v>
      </c>
      <c r="F60" s="93">
        <f>SUM('Strukturierung Daten Montana'!D13)</f>
        <v>1.05</v>
      </c>
      <c r="G60" s="93">
        <f>SUM('Strukturierung Daten Montana'!E13)</f>
        <v>1.26</v>
      </c>
      <c r="H60" s="93">
        <f>SUM('Strukturierung Daten Montana'!F13)</f>
        <v>4.2</v>
      </c>
      <c r="I60" s="93">
        <f>SUM('Strukturierung Daten Montana'!G13)</f>
        <v>7</v>
      </c>
      <c r="J60" s="93">
        <f>SUM('Strukturierung Daten Montana'!H13)</f>
        <v>22.1</v>
      </c>
      <c r="K60" s="93">
        <f>SUM('Strukturierung Daten Montana'!I13)</f>
        <v>17.399999999999999</v>
      </c>
      <c r="L60" s="93">
        <f>SUM('Strukturierung Daten Montana'!J13)</f>
        <v>9.1</v>
      </c>
      <c r="M60" s="93">
        <f>SUM('Strukturierung Daten Montana'!K13)</f>
        <v>4.1800000000000006</v>
      </c>
      <c r="N60" s="50">
        <f>SUM(E60:M60)</f>
        <v>66.290000000000006</v>
      </c>
      <c r="O60" s="46"/>
    </row>
    <row r="61" spans="1:17">
      <c r="A61" s="48" t="s">
        <v>165</v>
      </c>
      <c r="B61" s="93">
        <f>SUM('Strukturierung Daten Montana'!L14)</f>
        <v>2.5407000000000002</v>
      </c>
      <c r="C61" s="93">
        <f>SUM('Strukturierung Daten Montana'!M14)</f>
        <v>2.3142000000000005</v>
      </c>
      <c r="D61" s="93">
        <f>SUM('Strukturierung Daten Montana'!N14)</f>
        <v>1.2736500000000002</v>
      </c>
      <c r="E61" s="93">
        <f>SUM('Strukturierung Daten Montana'!C14)</f>
        <v>0.95760000000000012</v>
      </c>
      <c r="F61" s="93">
        <f>SUM('Strukturierung Daten Montana'!D14)</f>
        <v>0.9093</v>
      </c>
      <c r="G61" s="93">
        <f>SUM('Strukturierung Daten Montana'!E14)</f>
        <v>0.91349999999999998</v>
      </c>
      <c r="H61" s="93">
        <f>SUM('Strukturierung Daten Montana'!F14)</f>
        <v>4.4740500000000001</v>
      </c>
      <c r="I61" s="93">
        <f>SUM('Strukturierung Daten Montana'!G14)</f>
        <v>13.138900000000001</v>
      </c>
      <c r="J61" s="93">
        <f>SUM('Strukturierung Daten Montana'!H14)</f>
        <v>12.5321</v>
      </c>
      <c r="K61" s="93">
        <f>SUM('Strukturierung Daten Montana'!I14)</f>
        <v>10.4574</v>
      </c>
      <c r="L61" s="93">
        <f>SUM('Strukturierung Daten Montana'!J14)</f>
        <v>4.7926000000000011</v>
      </c>
      <c r="M61" s="93">
        <f>SUM('Strukturierung Daten Montana'!K14)</f>
        <v>2.4268000000000001</v>
      </c>
      <c r="N61" s="50">
        <f>SUM(E61:M61)</f>
        <v>50.602249999999998</v>
      </c>
      <c r="O61" s="51"/>
    </row>
    <row r="62" spans="1:17" s="47" customFormat="1">
      <c r="A62" s="43" t="s">
        <v>66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3"/>
      <c r="O62" s="46"/>
      <c r="Q62" s="86"/>
    </row>
    <row r="63" spans="1:17" s="47" customFormat="1">
      <c r="A63" s="43" t="s">
        <v>258</v>
      </c>
      <c r="B63" s="52">
        <f>SUM('Strukturierung Daten Montana'!L19)</f>
        <v>0.76515840000000002</v>
      </c>
      <c r="C63" s="52">
        <f>SUM('Strukturierung Daten Montana'!M19)</f>
        <v>0.76515840000000002</v>
      </c>
      <c r="D63" s="52">
        <f>SUM('Strukturierung Daten Montana'!N19)</f>
        <v>0.76515840000000002</v>
      </c>
      <c r="E63" s="52">
        <f>SUM('Strukturierung Daten Montana'!C19)</f>
        <v>0.76515840000000002</v>
      </c>
      <c r="F63" s="52">
        <f>SUM('Strukturierung Daten Montana'!D19)</f>
        <v>0.76515840000000002</v>
      </c>
      <c r="G63" s="52">
        <f>SUM('Strukturierung Daten Montana'!E19)</f>
        <v>0.76515840000000002</v>
      </c>
      <c r="H63" s="52">
        <f>SUM('Strukturierung Daten Montana'!F19)</f>
        <v>0.76515840000000002</v>
      </c>
      <c r="I63" s="52">
        <f>SUM('Strukturierung Daten Montana'!G19)</f>
        <v>0.76515840000000002</v>
      </c>
      <c r="J63" s="52">
        <f>SUM('Strukturierung Daten Montana'!H19)</f>
        <v>0.76515840000000002</v>
      </c>
      <c r="K63" s="52">
        <f>SUM('Strukturierung Daten Montana'!I19)</f>
        <v>0.76515840000000002</v>
      </c>
      <c r="L63" s="52">
        <f>SUM('Strukturierung Daten Montana'!J19)</f>
        <v>0.76515840000000002</v>
      </c>
      <c r="M63" s="52">
        <f>SUM('Strukturierung Daten Montana'!K19)</f>
        <v>0.76515840000000002</v>
      </c>
      <c r="N63" s="102"/>
      <c r="O63" s="46"/>
      <c r="Q63" s="86"/>
    </row>
    <row r="64" spans="1:17" s="47" customFormat="1">
      <c r="A64" s="43" t="s">
        <v>67</v>
      </c>
      <c r="B64" s="54">
        <f>SUM('Strukturierung Daten Montana'!L27)</f>
        <v>0.46522238050000009</v>
      </c>
      <c r="C64" s="54">
        <f>SUM('Strukturierung Daten Montana'!M27)</f>
        <v>0.48648637500000008</v>
      </c>
      <c r="D64" s="54">
        <f>SUM('Strukturierung Daten Montana'!N27)</f>
        <v>0.51762758750000004</v>
      </c>
      <c r="E64" s="54">
        <f>SUM('Strukturierung Daten Montana'!C27)</f>
        <v>0.48434738050000009</v>
      </c>
      <c r="F64" s="54">
        <f>SUM('Strukturierung Daten Montana'!D27)</f>
        <v>0.44317263400000007</v>
      </c>
      <c r="G64" s="54">
        <f>SUM('Strukturierung Daten Montana'!E27)</f>
        <v>0.47984738050000009</v>
      </c>
      <c r="H64" s="54">
        <f>SUM('Strukturierung Daten Montana'!F27)</f>
        <v>0.45337246500000006</v>
      </c>
      <c r="I64" s="54">
        <f>SUM('Strukturierung Daten Montana'!G27)</f>
        <v>0.46372238050000009</v>
      </c>
      <c r="J64" s="54">
        <f>SUM('Strukturierung Daten Montana'!H27)</f>
        <v>0.5089863750000001</v>
      </c>
      <c r="K64" s="54">
        <f>SUM('Strukturierung Daten Montana'!I27)</f>
        <v>0.52512758749999999</v>
      </c>
      <c r="L64" s="54">
        <f>SUM('Strukturierung Daten Montana'!J27)</f>
        <v>0.52437758750000008</v>
      </c>
      <c r="M64" s="54">
        <f>SUM('Strukturierung Daten Montana'!K27)</f>
        <v>0.49886137500000005</v>
      </c>
      <c r="N64" s="50">
        <f>SUM(E64:M64)</f>
        <v>4.3818151655000008</v>
      </c>
      <c r="O64" s="46"/>
      <c r="P64" s="85"/>
      <c r="Q64" s="86"/>
    </row>
    <row r="65" spans="1:17" s="47" customFormat="1">
      <c r="A65" s="43" t="s">
        <v>70</v>
      </c>
      <c r="B65" s="54">
        <f>SUM('Strukturierung Daten Montana'!L43)</f>
        <v>0.46522238050000009</v>
      </c>
      <c r="C65" s="54">
        <f>SUM('Strukturierung Daten Montana'!M43)</f>
        <v>0.48648637500000008</v>
      </c>
      <c r="D65" s="54">
        <f>SUM('Strukturierung Daten Montana'!N43)</f>
        <v>0.51762758750000004</v>
      </c>
      <c r="E65" s="54">
        <f>SUM('Strukturierung Daten Montana'!C43)</f>
        <v>0.48434738050000009</v>
      </c>
      <c r="F65" s="54">
        <f>SUM('Strukturierung Daten Montana'!D43)</f>
        <v>0.44317263400000007</v>
      </c>
      <c r="G65" s="54">
        <f>SUM('Strukturierung Daten Montana'!E43)</f>
        <v>0.47984738050000009</v>
      </c>
      <c r="H65" s="54">
        <f>SUM('Strukturierung Daten Montana'!F43)</f>
        <v>0.45337246500000006</v>
      </c>
      <c r="I65" s="54">
        <f>SUM('Strukturierung Daten Montana'!G43)</f>
        <v>0.46372238050000009</v>
      </c>
      <c r="J65" s="54">
        <f>SUM('Strukturierung Daten Montana'!H43)</f>
        <v>0.5089863750000001</v>
      </c>
      <c r="K65" s="54">
        <f>SUM('Strukturierung Daten Montana'!I43)</f>
        <v>0.52512758749999999</v>
      </c>
      <c r="L65" s="54">
        <f>SUM('Strukturierung Daten Montana'!J43)</f>
        <v>0.52437758750000008</v>
      </c>
      <c r="M65" s="54">
        <f>SUM('Strukturierung Daten Montana'!K43)</f>
        <v>0.49886137500000005</v>
      </c>
      <c r="N65" s="50">
        <f>SUM(E65:M65)</f>
        <v>4.3818151655000008</v>
      </c>
      <c r="O65" s="46"/>
    </row>
    <row r="66" spans="1:17">
      <c r="A66" s="43" t="s">
        <v>69</v>
      </c>
      <c r="B66" s="49">
        <f>SUM('Strukturierung Daten Montana'!L35)</f>
        <v>0.39750000000000002</v>
      </c>
      <c r="C66" s="49">
        <f>SUM('Strukturierung Daten Montana'!M35)</f>
        <v>0</v>
      </c>
      <c r="D66" s="49">
        <f>SUM('Strukturierung Daten Montana'!N35)</f>
        <v>0</v>
      </c>
      <c r="E66" s="49">
        <f>SUM('Strukturierung Daten Montana'!C35)</f>
        <v>0</v>
      </c>
      <c r="F66" s="49">
        <f>SUM('Strukturierung Daten Montana'!D35)</f>
        <v>0</v>
      </c>
      <c r="G66" s="49">
        <f>SUM('Strukturierung Daten Montana'!E35)</f>
        <v>0</v>
      </c>
      <c r="H66" s="49">
        <f>SUM('Strukturierung Daten Montana'!F35)</f>
        <v>0.27825</v>
      </c>
      <c r="I66" s="49">
        <f>SUM('Strukturierung Daten Montana'!G35)</f>
        <v>0.37762499999999999</v>
      </c>
      <c r="J66" s="49">
        <f>SUM('Strukturierung Daten Montana'!H35)</f>
        <v>0.61612500000000003</v>
      </c>
      <c r="K66" s="49">
        <f>SUM('Strukturierung Daten Montana'!I35)</f>
        <v>1.113</v>
      </c>
      <c r="L66" s="49">
        <f>SUM('Strukturierung Daten Montana'!J35)</f>
        <v>1.1924999999999999</v>
      </c>
      <c r="M66" s="49">
        <f>SUM('Strukturierung Daten Montana'!K35)</f>
        <v>0.91425000000000001</v>
      </c>
      <c r="N66" s="50">
        <f>SUM(E66:M66)</f>
        <v>4.4917499999999997</v>
      </c>
      <c r="O66" s="51"/>
    </row>
    <row r="67" spans="1:17" s="47" customFormat="1" ht="24.75" customHeight="1">
      <c r="A67" s="43" t="s">
        <v>185</v>
      </c>
      <c r="B67" s="52">
        <f>SUM(B63:B66)</f>
        <v>2.0931031610000002</v>
      </c>
      <c r="C67" s="52">
        <f>SUM(C63:C66)</f>
        <v>1.7381311500000003</v>
      </c>
      <c r="D67" s="52">
        <f>SUM(D63:D66)</f>
        <v>1.8004135750000001</v>
      </c>
      <c r="E67" s="52">
        <f>SUM(E63:E66)</f>
        <v>1.7338531610000001</v>
      </c>
      <c r="F67" s="52">
        <f t="shared" ref="F67:M67" si="5">SUM(F63:F66)</f>
        <v>1.6515036680000001</v>
      </c>
      <c r="G67" s="52">
        <f t="shared" si="5"/>
        <v>1.7248531610000002</v>
      </c>
      <c r="H67" s="52">
        <f t="shared" si="5"/>
        <v>1.95015333</v>
      </c>
      <c r="I67" s="52">
        <f t="shared" si="5"/>
        <v>2.0702281610000002</v>
      </c>
      <c r="J67" s="52">
        <f t="shared" si="5"/>
        <v>2.3992561500000003</v>
      </c>
      <c r="K67" s="52">
        <f t="shared" si="5"/>
        <v>2.928413575</v>
      </c>
      <c r="L67" s="52">
        <f t="shared" si="5"/>
        <v>3.0064135749999998</v>
      </c>
      <c r="M67" s="52">
        <f t="shared" si="5"/>
        <v>2.6771311500000001</v>
      </c>
      <c r="N67" s="53">
        <f>SUM(E67:M67)</f>
        <v>20.141805931</v>
      </c>
      <c r="O67" s="46"/>
    </row>
    <row r="68" spans="1:17">
      <c r="A68" s="43" t="s">
        <v>186</v>
      </c>
      <c r="B68" s="56">
        <f>SUM('Strukturierung Daten Montana'!L61)</f>
        <v>3.1475968390000002</v>
      </c>
      <c r="C68" s="56">
        <f>SUM('Strukturierung Daten Montana'!M61)</f>
        <v>2.6760688500000009</v>
      </c>
      <c r="D68" s="56">
        <f>SUM('Strukturierung Daten Montana'!N61)</f>
        <v>1.048236425</v>
      </c>
      <c r="E68" s="56">
        <f>SUM('Strukturierung Daten Montana'!C61)</f>
        <v>-0.77625316099999997</v>
      </c>
      <c r="F68" s="56">
        <f>SUM('Strukturierung Daten Montana'!D61)</f>
        <v>0.30779633199999989</v>
      </c>
      <c r="G68" s="56">
        <f>SUM('Strukturierung Daten Montana'!E61)</f>
        <v>0.44864683899999958</v>
      </c>
      <c r="H68" s="56">
        <f>SUM('Strukturierung Daten Montana'!F61)</f>
        <v>6.7238966700000011</v>
      </c>
      <c r="I68" s="56">
        <f>SUM('Strukturierung Daten Montana'!G61)</f>
        <v>18.068671839</v>
      </c>
      <c r="J68" s="56">
        <f>SUM('Strukturierung Daten Montana'!H61)</f>
        <v>32.232843850000002</v>
      </c>
      <c r="K68" s="56">
        <f>SUM('Strukturierung Daten Montana'!I61)</f>
        <v>24.928986424999998</v>
      </c>
      <c r="L68" s="56">
        <f>SUM('Strukturierung Daten Montana'!J61)</f>
        <v>10.886186425000002</v>
      </c>
      <c r="M68" s="56">
        <f>SUM('Strukturierung Daten Montana'!K61)</f>
        <v>3.9296688500000005</v>
      </c>
      <c r="N68" s="50"/>
      <c r="O68" s="51"/>
    </row>
    <row r="69" spans="1:17">
      <c r="A69" s="43" t="s">
        <v>259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>
        <f>SUM('Strukturierung Daten Montana'!K69)</f>
        <v>-0.77625316099999997</v>
      </c>
      <c r="O69" s="55"/>
      <c r="P69" s="86"/>
    </row>
    <row r="70" spans="1:17">
      <c r="A70" s="43" t="s">
        <v>187</v>
      </c>
      <c r="B70" s="56"/>
      <c r="C70" s="56"/>
      <c r="D70" s="56"/>
      <c r="E70" s="56"/>
      <c r="F70" s="56"/>
      <c r="G70" s="56"/>
      <c r="H70" s="56"/>
      <c r="I70" s="56">
        <f>SUM('Strukturierung Daten Montana'!G77)</f>
        <v>36.350582643999999</v>
      </c>
      <c r="J70" s="56"/>
      <c r="K70" s="56"/>
      <c r="L70" s="56"/>
      <c r="M70" s="56"/>
      <c r="O70" s="55"/>
      <c r="P70" s="86"/>
    </row>
    <row r="71" spans="1:17" s="48" customFormat="1">
      <c r="E71" s="58"/>
      <c r="O71" s="76"/>
    </row>
    <row r="72" spans="1:17" s="48" customFormat="1">
      <c r="E72" s="58"/>
      <c r="O72" s="76"/>
    </row>
    <row r="73" spans="1:17" s="48" customFormat="1">
      <c r="E73" s="58"/>
      <c r="O73" s="76"/>
    </row>
    <row r="74" spans="1:17" s="38" customFormat="1" ht="15">
      <c r="A74" s="99" t="s">
        <v>261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1"/>
      <c r="O74" s="42"/>
    </row>
    <row r="75" spans="1:17" s="47" customFormat="1">
      <c r="A75" s="43" t="s">
        <v>56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5"/>
      <c r="O75" s="46"/>
    </row>
    <row r="76" spans="1:17" s="47" customFormat="1">
      <c r="A76" s="133" t="s">
        <v>285</v>
      </c>
      <c r="B76" s="93">
        <f>SUM('Strukturierung Daten Montana'!L15)</f>
        <v>5.2</v>
      </c>
      <c r="C76" s="93">
        <f>SUM('Strukturierung Daten Montana'!M15)</f>
        <v>1.9</v>
      </c>
      <c r="D76" s="93">
        <f>SUM('Strukturierung Daten Montana'!N15)</f>
        <v>1.9</v>
      </c>
      <c r="E76" s="93">
        <f>SUM('Strukturierung Daten Montana'!C15)</f>
        <v>0</v>
      </c>
      <c r="F76" s="93">
        <f>SUM('Strukturierung Daten Montana'!D15)</f>
        <v>1.1399999999999999</v>
      </c>
      <c r="G76" s="93">
        <f>SUM('Strukturierung Daten Montana'!E15)</f>
        <v>1.1399999999999999</v>
      </c>
      <c r="H76" s="93">
        <f>SUM('Strukturierung Daten Montana'!F15)</f>
        <v>4.2749999999999995</v>
      </c>
      <c r="I76" s="93">
        <f>SUM('Strukturierung Daten Montana'!G15)</f>
        <v>10.600000000000001</v>
      </c>
      <c r="J76" s="93">
        <f>SUM('Strukturierung Daten Montana'!H15)</f>
        <v>12.8</v>
      </c>
      <c r="K76" s="93">
        <f>SUM('Strukturierung Daten Montana'!I15)</f>
        <v>9.0000000000000018</v>
      </c>
      <c r="L76" s="93">
        <f>SUM('Strukturierung Daten Montana'!J15)</f>
        <v>6.0000000000000009</v>
      </c>
      <c r="M76" s="93">
        <f>SUM('Strukturierung Daten Montana'!K15)</f>
        <v>5.9</v>
      </c>
      <c r="N76" s="50">
        <f>SUM(B76:M76)</f>
        <v>59.854999999999997</v>
      </c>
      <c r="O76" s="46"/>
    </row>
    <row r="77" spans="1:17">
      <c r="A77" s="48" t="s">
        <v>165</v>
      </c>
      <c r="B77" s="93">
        <f>SUM('Strukturierung Daten Montana'!L16)</f>
        <v>3.7744</v>
      </c>
      <c r="C77" s="93">
        <f>SUM('Strukturierung Daten Montana'!M16)</f>
        <v>0.93764999999999998</v>
      </c>
      <c r="D77" s="93">
        <f>SUM('Strukturierung Daten Montana'!N16)</f>
        <v>0.70394999999999996</v>
      </c>
      <c r="E77" s="93">
        <f>SUM('Strukturierung Daten Montana'!C16)</f>
        <v>0.82080000000000009</v>
      </c>
      <c r="F77" s="93">
        <f>SUM('Strukturierung Daten Montana'!D16)</f>
        <v>0.82269999999999999</v>
      </c>
      <c r="G77" s="93">
        <f>SUM('Strukturierung Daten Montana'!E16)</f>
        <v>0.82650000000000001</v>
      </c>
      <c r="H77" s="93">
        <f>SUM('Strukturierung Daten Montana'!F16)</f>
        <v>4.0479500000000002</v>
      </c>
      <c r="I77" s="93">
        <f>SUM('Strukturierung Daten Montana'!G16)</f>
        <v>4.7</v>
      </c>
      <c r="J77" s="93">
        <f>SUM('Strukturierung Daten Montana'!H16)</f>
        <v>7.0944000000000003</v>
      </c>
      <c r="K77" s="93">
        <f>SUM('Strukturierung Daten Montana'!I16)</f>
        <v>3.9872000000000001</v>
      </c>
      <c r="L77" s="93">
        <f>SUM('Strukturierung Daten Montana'!J16)</f>
        <v>0.59840000000000004</v>
      </c>
      <c r="M77" s="93">
        <f>SUM('Strukturierung Daten Montana'!K16)</f>
        <v>1.9207999999999998</v>
      </c>
      <c r="N77" s="50">
        <f>SUM(B77:M77)</f>
        <v>30.234750000000002</v>
      </c>
      <c r="O77" s="51"/>
    </row>
    <row r="78" spans="1:17" s="47" customFormat="1">
      <c r="A78" s="43" t="s">
        <v>66</v>
      </c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3"/>
      <c r="O78" s="46"/>
      <c r="Q78" s="86"/>
    </row>
    <row r="79" spans="1:17" s="47" customFormat="1">
      <c r="A79" s="43" t="s">
        <v>295</v>
      </c>
      <c r="B79" s="54">
        <f>SUM('Strukturierung Daten Montana'!L19)</f>
        <v>0.76515840000000002</v>
      </c>
      <c r="C79" s="54">
        <f>SUM('Strukturierung Daten Montana'!M19)</f>
        <v>0.76515840000000002</v>
      </c>
      <c r="D79" s="54">
        <f>SUM('Strukturierung Daten Montana'!N19)</f>
        <v>0.76515840000000002</v>
      </c>
      <c r="E79" s="54">
        <f>SUM('Strukturierung Daten Montana'!C19)</f>
        <v>0.76515840000000002</v>
      </c>
      <c r="F79" s="54">
        <f>SUM('Strukturierung Daten Montana'!D19)</f>
        <v>0.76515840000000002</v>
      </c>
      <c r="G79" s="54">
        <f>SUM('Strukturierung Daten Montana'!E19)</f>
        <v>0.76515840000000002</v>
      </c>
      <c r="H79" s="54">
        <f>SUM('Strukturierung Daten Montana'!F19)</f>
        <v>0.76515840000000002</v>
      </c>
      <c r="I79" s="54">
        <f>SUM('Strukturierung Daten Montana'!G19)</f>
        <v>0.76515840000000002</v>
      </c>
      <c r="J79" s="54">
        <f>SUM('Strukturierung Daten Montana'!H19)</f>
        <v>0.76515840000000002</v>
      </c>
      <c r="K79" s="54">
        <f>SUM('Strukturierung Daten Montana'!I19)</f>
        <v>0.76515840000000002</v>
      </c>
      <c r="L79" s="54">
        <f>SUM('Strukturierung Daten Montana'!J19)</f>
        <v>0.76515840000000002</v>
      </c>
      <c r="M79" s="54">
        <f>SUM('Strukturierung Daten Montana'!K19)</f>
        <v>0.76515840000000002</v>
      </c>
      <c r="N79" s="143">
        <f>SUM(B79:M79)</f>
        <v>9.1819007999999993</v>
      </c>
      <c r="O79" s="46"/>
      <c r="Q79" s="86"/>
    </row>
    <row r="80" spans="1:17" s="47" customFormat="1">
      <c r="A80" s="43" t="s">
        <v>67</v>
      </c>
      <c r="B80" s="54">
        <f>SUM('Strukturierung Daten Montana'!L28)</f>
        <v>0.46522238050000009</v>
      </c>
      <c r="C80" s="54">
        <f>SUM('Strukturierung Daten Montana'!M28)</f>
        <v>0.54459474000000008</v>
      </c>
      <c r="D80" s="54">
        <f>SUM('Strukturierung Daten Montana'!N28)</f>
        <v>0.57767289799999999</v>
      </c>
      <c r="E80" s="54">
        <f>SUM('Strukturierung Daten Montana'!C28)</f>
        <v>0.48434738050000009</v>
      </c>
      <c r="F80" s="54">
        <f>SUM('Strukturierung Daten Montana'!D28)</f>
        <v>0.44317263400000007</v>
      </c>
      <c r="G80" s="54">
        <f>SUM('Strukturierung Daten Montana'!E28)</f>
        <v>0.47984738050000009</v>
      </c>
      <c r="H80" s="54">
        <f>SUM('Strukturierung Daten Montana'!F28)</f>
        <v>0.45337246500000006</v>
      </c>
      <c r="I80" s="54">
        <f>SUM('Strukturierung Daten Montana'!G28)</f>
        <v>0.46372238050000009</v>
      </c>
      <c r="J80" s="54">
        <f>SUM('Strukturierung Daten Montana'!H28)</f>
        <v>0.56709474000000015</v>
      </c>
      <c r="K80" s="54">
        <f>SUM('Strukturierung Daten Montana'!I28)</f>
        <v>0.58517289800000005</v>
      </c>
      <c r="L80" s="54">
        <f>SUM('Strukturierung Daten Montana'!J28)</f>
        <v>0.58442289800000002</v>
      </c>
      <c r="M80" s="54">
        <f>SUM('Strukturierung Daten Montana'!K28)</f>
        <v>0.5569697400000001</v>
      </c>
      <c r="N80" s="50">
        <f t="shared" ref="N80:N83" si="6">SUM(B80:M80)</f>
        <v>6.2056125350000002</v>
      </c>
      <c r="O80" s="46"/>
      <c r="P80" s="85"/>
      <c r="Q80" s="86"/>
    </row>
    <row r="81" spans="1:17" s="47" customFormat="1">
      <c r="A81" s="43" t="s">
        <v>70</v>
      </c>
      <c r="B81" s="54">
        <f>SUM('Strukturierung Daten Montana'!L44)</f>
        <v>0.46522238050000009</v>
      </c>
      <c r="C81" s="54">
        <f>SUM('Strukturierung Daten Montana'!M44)</f>
        <v>0.54459474000000008</v>
      </c>
      <c r="D81" s="54">
        <f>SUM('Strukturierung Daten Montana'!N44)</f>
        <v>0.57767289799999999</v>
      </c>
      <c r="E81" s="54">
        <f>SUM('Strukturierung Daten Montana'!C44)</f>
        <v>0.48434738050000009</v>
      </c>
      <c r="F81" s="54">
        <f>SUM('Strukturierung Daten Montana'!D44)</f>
        <v>0.44317263400000007</v>
      </c>
      <c r="G81" s="54">
        <f>SUM('Strukturierung Daten Montana'!E44)</f>
        <v>0.47984738050000009</v>
      </c>
      <c r="H81" s="54">
        <f>SUM('Strukturierung Daten Montana'!F44)</f>
        <v>0.45337246500000006</v>
      </c>
      <c r="I81" s="54">
        <f>SUM('Strukturierung Daten Montana'!G44)</f>
        <v>0.46372238050000009</v>
      </c>
      <c r="J81" s="54">
        <f>SUM('Strukturierung Daten Montana'!H44)</f>
        <v>0.56709474000000015</v>
      </c>
      <c r="K81" s="54">
        <f>SUM('Strukturierung Daten Montana'!I44)</f>
        <v>0.58517289800000005</v>
      </c>
      <c r="L81" s="54">
        <f>SUM('Strukturierung Daten Montana'!J44)</f>
        <v>0.58442289800000002</v>
      </c>
      <c r="M81" s="54">
        <f>SUM('Strukturierung Daten Montana'!K44)</f>
        <v>0.5569697400000001</v>
      </c>
      <c r="N81" s="50">
        <f t="shared" si="6"/>
        <v>6.2056125350000002</v>
      </c>
      <c r="O81" s="46"/>
    </row>
    <row r="82" spans="1:17">
      <c r="A82" s="43" t="s">
        <v>69</v>
      </c>
      <c r="B82" s="49">
        <f>SUM('Strukturierung Daten Montana'!L36)</f>
        <v>1.1924999999999999</v>
      </c>
      <c r="C82" s="49">
        <f>SUM('Strukturierung Daten Montana'!M36)</f>
        <v>0</v>
      </c>
      <c r="D82" s="49">
        <f>SUM('Strukturierung Daten Montana'!N36)</f>
        <v>0</v>
      </c>
      <c r="E82" s="49">
        <f>SUM('Strukturierung Daten Montana'!C36)</f>
        <v>0</v>
      </c>
      <c r="F82" s="49">
        <f>SUM('Strukturierung Daten Montana'!D36)</f>
        <v>0</v>
      </c>
      <c r="G82" s="49">
        <f>SUM('Strukturierung Daten Montana'!E36)</f>
        <v>0.19875000000000001</v>
      </c>
      <c r="H82" s="49">
        <f>SUM('Strukturierung Daten Montana'!F36)</f>
        <v>0.98381249999999998</v>
      </c>
      <c r="I82" s="49">
        <f>SUM('Strukturierung Daten Montana'!G36)</f>
        <v>0.82282499999999992</v>
      </c>
      <c r="J82" s="49">
        <f>SUM('Strukturierung Daten Montana'!H36)</f>
        <v>1.8086250000000001</v>
      </c>
      <c r="K82" s="49">
        <f>SUM('Strukturierung Daten Montana'!I36)</f>
        <v>3.3529125000000004</v>
      </c>
      <c r="L82" s="49">
        <f>SUM('Strukturierung Daten Montana'!J36)</f>
        <v>3.5397375000000002</v>
      </c>
      <c r="M82" s="49">
        <f>SUM('Strukturierung Daten Montana'!K36)</f>
        <v>2.7487124999999999</v>
      </c>
      <c r="N82" s="50">
        <f t="shared" si="6"/>
        <v>14.647874999999999</v>
      </c>
      <c r="O82" s="51"/>
    </row>
    <row r="83" spans="1:17" s="47" customFormat="1" ht="24.75" customHeight="1">
      <c r="A83" s="43" t="s">
        <v>185</v>
      </c>
      <c r="B83" s="52">
        <f>SUM(B79:B82)</f>
        <v>2.8881031610000001</v>
      </c>
      <c r="C83" s="52">
        <f>SUM(C79:C82)</f>
        <v>1.8543478800000002</v>
      </c>
      <c r="D83" s="52">
        <f>SUM(D79:D82)</f>
        <v>1.920504196</v>
      </c>
      <c r="E83" s="52">
        <f>SUM(E79:E82)</f>
        <v>1.7338531610000001</v>
      </c>
      <c r="F83" s="52">
        <f t="shared" ref="F83:M83" si="7">SUM(F79:F82)</f>
        <v>1.6515036680000001</v>
      </c>
      <c r="G83" s="52">
        <f t="shared" si="7"/>
        <v>1.9236031610000002</v>
      </c>
      <c r="H83" s="52">
        <f t="shared" si="7"/>
        <v>2.6557158300000001</v>
      </c>
      <c r="I83" s="52">
        <f t="shared" si="7"/>
        <v>2.515428161</v>
      </c>
      <c r="J83" s="52">
        <f t="shared" si="7"/>
        <v>3.7079728800000007</v>
      </c>
      <c r="K83" s="52">
        <f t="shared" si="7"/>
        <v>5.2884166960000005</v>
      </c>
      <c r="L83" s="52">
        <f t="shared" si="7"/>
        <v>5.4737416960000003</v>
      </c>
      <c r="M83" s="52">
        <f t="shared" si="7"/>
        <v>4.6278103799999997</v>
      </c>
      <c r="N83" s="53">
        <f t="shared" si="6"/>
        <v>36.241000870000008</v>
      </c>
      <c r="O83" s="46"/>
    </row>
    <row r="84" spans="1:17">
      <c r="A84" s="43" t="s">
        <v>186</v>
      </c>
      <c r="B84" s="56">
        <f>SUM('Strukturierung Daten Montana'!L62)</f>
        <v>6.0862968389999992</v>
      </c>
      <c r="C84" s="56">
        <f>SUM('Strukturierung Daten Montana'!M62)</f>
        <v>0.98330211999999984</v>
      </c>
      <c r="D84" s="56">
        <f>SUM('Strukturierung Daten Montana'!N62)</f>
        <v>0.68344580399999977</v>
      </c>
      <c r="E84" s="56">
        <f>SUM('Strukturierung Daten Montana'!C62)</f>
        <v>-0.913053161</v>
      </c>
      <c r="F84" s="56">
        <f>SUM('Strukturierung Daten Montana'!D62)</f>
        <v>0.31119633199999974</v>
      </c>
      <c r="G84" s="56">
        <f>SUM('Strukturierung Daten Montana'!E62)</f>
        <v>4.2896838999999742E-2</v>
      </c>
      <c r="H84" s="56">
        <f>SUM('Strukturierung Daten Montana'!F62)</f>
        <v>5.6672341699999986</v>
      </c>
      <c r="I84" s="56">
        <f>SUM('Strukturierung Daten Montana'!G62)</f>
        <v>12.784571839000002</v>
      </c>
      <c r="J84" s="56">
        <f>SUM('Strukturierung Daten Montana'!H62)</f>
        <v>16.186427120000001</v>
      </c>
      <c r="K84" s="56">
        <f>SUM('Strukturierung Daten Montana'!I62)</f>
        <v>7.6987833040000009</v>
      </c>
      <c r="L84" s="56">
        <f>SUM('Strukturierung Daten Montana'!J62)</f>
        <v>1.1246583040000013</v>
      </c>
      <c r="M84" s="56">
        <f>SUM('Strukturierung Daten Montana'!K62)</f>
        <v>3.1929896199999996</v>
      </c>
      <c r="N84" s="50"/>
      <c r="O84" s="51"/>
    </row>
    <row r="85" spans="1:17">
      <c r="A85" s="43" t="s">
        <v>259</v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>
        <f>SUM('Strukturierung Daten Montana'!K70)</f>
        <v>-0.913053161</v>
      </c>
      <c r="O85" s="55"/>
      <c r="P85" s="86"/>
    </row>
    <row r="86" spans="1:17">
      <c r="A86" s="43" t="s">
        <v>187</v>
      </c>
      <c r="B86" s="56"/>
      <c r="C86" s="56"/>
      <c r="D86" s="56"/>
      <c r="E86" s="56"/>
      <c r="F86" s="56"/>
      <c r="G86" s="56"/>
      <c r="H86" s="56"/>
      <c r="I86" s="56">
        <f>SUM('Strukturierung Daten Montana'!G78)</f>
        <v>29.751933562999994</v>
      </c>
      <c r="J86" s="56"/>
      <c r="K86" s="56"/>
      <c r="L86" s="56"/>
      <c r="M86" s="56"/>
      <c r="O86" s="55"/>
      <c r="P86" s="86"/>
    </row>
    <row r="87" spans="1:17">
      <c r="A87" s="43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O87" s="55"/>
      <c r="P87" s="86"/>
    </row>
    <row r="88" spans="1:17" s="48" customFormat="1">
      <c r="A88" s="135" t="s">
        <v>289</v>
      </c>
      <c r="E88" s="58"/>
      <c r="O88" s="76"/>
    </row>
    <row r="89" spans="1:17" s="38" customFormat="1" ht="18">
      <c r="A89" s="136" t="s">
        <v>299</v>
      </c>
      <c r="B89" s="141">
        <v>1</v>
      </c>
      <c r="C89" s="141">
        <v>8</v>
      </c>
      <c r="D89" s="141">
        <v>12</v>
      </c>
      <c r="E89" s="141">
        <v>12</v>
      </c>
      <c r="F89" s="141">
        <v>2</v>
      </c>
      <c r="G89" s="141">
        <v>0</v>
      </c>
      <c r="H89" s="141">
        <v>-6</v>
      </c>
      <c r="I89" s="141">
        <v>-13</v>
      </c>
      <c r="J89" s="141">
        <v>-15</v>
      </c>
      <c r="K89" s="141">
        <v>-6</v>
      </c>
      <c r="L89" s="141">
        <v>4</v>
      </c>
      <c r="M89" s="141">
        <v>1</v>
      </c>
      <c r="N89" s="140">
        <f>SUM(B89:M89)</f>
        <v>0</v>
      </c>
      <c r="O89" s="42"/>
    </row>
    <row r="90" spans="1:17" s="47" customFormat="1" ht="18" customHeight="1">
      <c r="A90" s="43" t="s">
        <v>184</v>
      </c>
      <c r="B90" s="130">
        <f>B94+B95+B89</f>
        <v>9.9743999999999993</v>
      </c>
      <c r="C90" s="130">
        <f t="shared" ref="C90:M90" si="8">C94+C95+C89</f>
        <v>10.83765</v>
      </c>
      <c r="D90" s="130">
        <f t="shared" si="8"/>
        <v>14.603949999999999</v>
      </c>
      <c r="E90" s="130">
        <f t="shared" si="8"/>
        <v>12.8208</v>
      </c>
      <c r="F90" s="130">
        <f t="shared" si="8"/>
        <v>3.9626999999999999</v>
      </c>
      <c r="G90" s="130">
        <f t="shared" si="8"/>
        <v>1.9664999999999999</v>
      </c>
      <c r="H90" s="130">
        <f t="shared" si="8"/>
        <v>2.3229499999999987</v>
      </c>
      <c r="I90" s="130">
        <f t="shared" si="8"/>
        <v>2.3000000000000007</v>
      </c>
      <c r="J90" s="130">
        <f t="shared" si="8"/>
        <v>4.894400000000001</v>
      </c>
      <c r="K90" s="130">
        <f t="shared" si="8"/>
        <v>6.9872000000000014</v>
      </c>
      <c r="L90" s="130">
        <f t="shared" si="8"/>
        <v>10.598400000000002</v>
      </c>
      <c r="M90" s="130">
        <f t="shared" si="8"/>
        <v>8.8208000000000002</v>
      </c>
      <c r="N90" s="145">
        <f>SUM(B90:M90)</f>
        <v>90.089750000000009</v>
      </c>
      <c r="O90" s="46"/>
    </row>
    <row r="91" spans="1:17" s="47" customFormat="1" ht="18" customHeight="1">
      <c r="A91" s="43" t="s">
        <v>300</v>
      </c>
      <c r="B91" s="130">
        <f t="shared" ref="B91:G91" si="9">B90-B93</f>
        <v>8.9743999999999993</v>
      </c>
      <c r="C91" s="130">
        <f t="shared" si="9"/>
        <v>2.83765</v>
      </c>
      <c r="D91" s="130">
        <f t="shared" si="9"/>
        <v>2.6039499999999993</v>
      </c>
      <c r="E91" s="130">
        <f t="shared" si="9"/>
        <v>0.8208000000000002</v>
      </c>
      <c r="F91" s="130">
        <f t="shared" si="9"/>
        <v>1.9626999999999999</v>
      </c>
      <c r="G91" s="130">
        <f t="shared" si="9"/>
        <v>1.9664999999999999</v>
      </c>
      <c r="H91" s="130">
        <f>H90-H93</f>
        <v>2.3229499999999987</v>
      </c>
      <c r="I91" s="130">
        <f t="shared" ref="I91:M91" si="10">I90-I93</f>
        <v>2.3000000000000007</v>
      </c>
      <c r="J91" s="130">
        <f t="shared" si="10"/>
        <v>4.894400000000001</v>
      </c>
      <c r="K91" s="130">
        <f t="shared" si="10"/>
        <v>6.9872000000000014</v>
      </c>
      <c r="L91" s="130">
        <f t="shared" si="10"/>
        <v>6.5984000000000016</v>
      </c>
      <c r="M91" s="130">
        <f t="shared" si="10"/>
        <v>7.8208000000000002</v>
      </c>
      <c r="N91" s="140"/>
      <c r="O91" s="46"/>
    </row>
    <row r="92" spans="1:17" s="47" customFormat="1">
      <c r="A92" s="43" t="s">
        <v>298</v>
      </c>
      <c r="B92" s="130"/>
      <c r="C92" s="130"/>
      <c r="D92" s="130"/>
      <c r="E92" s="130"/>
      <c r="F92" s="130"/>
      <c r="G92" s="130"/>
      <c r="H92" s="130">
        <f t="shared" ref="H92:K92" si="11">-H89</f>
        <v>6</v>
      </c>
      <c r="I92" s="130">
        <f t="shared" si="11"/>
        <v>13</v>
      </c>
      <c r="J92" s="130">
        <f t="shared" si="11"/>
        <v>15</v>
      </c>
      <c r="K92" s="130">
        <f t="shared" si="11"/>
        <v>6</v>
      </c>
      <c r="L92" s="130"/>
      <c r="M92" s="130"/>
      <c r="N92" s="140"/>
      <c r="O92" s="46"/>
    </row>
    <row r="93" spans="1:17" s="47" customFormat="1">
      <c r="A93" s="43" t="s">
        <v>297</v>
      </c>
      <c r="B93" s="130">
        <f>B89</f>
        <v>1</v>
      </c>
      <c r="C93" s="130">
        <f t="shared" ref="C93:G93" si="12">C89</f>
        <v>8</v>
      </c>
      <c r="D93" s="130">
        <f t="shared" si="12"/>
        <v>12</v>
      </c>
      <c r="E93" s="130">
        <f t="shared" si="12"/>
        <v>12</v>
      </c>
      <c r="F93" s="130">
        <f t="shared" si="12"/>
        <v>2</v>
      </c>
      <c r="G93" s="130">
        <f t="shared" si="12"/>
        <v>0</v>
      </c>
      <c r="H93" s="130"/>
      <c r="I93" s="130"/>
      <c r="J93" s="130"/>
      <c r="K93" s="130"/>
      <c r="L93" s="130">
        <f t="shared" ref="L93:M93" si="13">L89</f>
        <v>4</v>
      </c>
      <c r="M93" s="130">
        <f t="shared" si="13"/>
        <v>1</v>
      </c>
      <c r="N93" s="140"/>
      <c r="O93" s="46"/>
    </row>
    <row r="94" spans="1:17" s="47" customFormat="1">
      <c r="A94" s="133" t="s">
        <v>285</v>
      </c>
      <c r="B94" s="93">
        <f>SUM('Strukturierung Daten Montana'!L15)</f>
        <v>5.2</v>
      </c>
      <c r="C94" s="93">
        <f>SUM('Strukturierung Daten Montana'!M15)</f>
        <v>1.9</v>
      </c>
      <c r="D94" s="93">
        <f>SUM('Strukturierung Daten Montana'!N15)</f>
        <v>1.9</v>
      </c>
      <c r="E94" s="93">
        <f>SUM('Strukturierung Daten Montana'!C15)</f>
        <v>0</v>
      </c>
      <c r="F94" s="93">
        <f>SUM('Strukturierung Daten Montana'!D15)</f>
        <v>1.1399999999999999</v>
      </c>
      <c r="G94" s="93">
        <f>SUM('Strukturierung Daten Montana'!E15)</f>
        <v>1.1399999999999999</v>
      </c>
      <c r="H94" s="93">
        <f>SUM('Strukturierung Daten Montana'!F15)</f>
        <v>4.2749999999999995</v>
      </c>
      <c r="I94" s="93">
        <f>SUM('Strukturierung Daten Montana'!G15)</f>
        <v>10.600000000000001</v>
      </c>
      <c r="J94" s="93">
        <f>SUM('Strukturierung Daten Montana'!H15)</f>
        <v>12.8</v>
      </c>
      <c r="K94" s="93">
        <f>SUM('Strukturierung Daten Montana'!I15)</f>
        <v>9.0000000000000018</v>
      </c>
      <c r="L94" s="93">
        <f>SUM('Strukturierung Daten Montana'!J15)</f>
        <v>6.0000000000000009</v>
      </c>
      <c r="M94" s="93">
        <f>SUM('Strukturierung Daten Montana'!K15)</f>
        <v>5.9</v>
      </c>
      <c r="N94" s="50">
        <f>SUM(B94:M94)</f>
        <v>59.854999999999997</v>
      </c>
      <c r="O94" s="46"/>
    </row>
    <row r="95" spans="1:17">
      <c r="A95" s="48" t="s">
        <v>165</v>
      </c>
      <c r="B95" s="93">
        <f>SUM('Strukturierung Daten Montana'!L16)</f>
        <v>3.7744</v>
      </c>
      <c r="C95" s="93">
        <f>SUM('Strukturierung Daten Montana'!M16)</f>
        <v>0.93764999999999998</v>
      </c>
      <c r="D95" s="93">
        <f>SUM('Strukturierung Daten Montana'!N16)</f>
        <v>0.70394999999999996</v>
      </c>
      <c r="E95" s="93">
        <f>SUM('Strukturierung Daten Montana'!C16)</f>
        <v>0.82080000000000009</v>
      </c>
      <c r="F95" s="93">
        <f>SUM('Strukturierung Daten Montana'!D16)</f>
        <v>0.82269999999999999</v>
      </c>
      <c r="G95" s="93">
        <f>SUM('Strukturierung Daten Montana'!E16)</f>
        <v>0.82650000000000001</v>
      </c>
      <c r="H95" s="93">
        <f>SUM('Strukturierung Daten Montana'!F16)</f>
        <v>4.0479500000000002</v>
      </c>
      <c r="I95" s="93">
        <f>SUM('Strukturierung Daten Montana'!G16)</f>
        <v>4.7</v>
      </c>
      <c r="J95" s="93">
        <f>SUM('Strukturierung Daten Montana'!H16)</f>
        <v>7.0944000000000003</v>
      </c>
      <c r="K95" s="93">
        <f>SUM('Strukturierung Daten Montana'!I16)</f>
        <v>3.9872000000000001</v>
      </c>
      <c r="L95" s="93">
        <f>SUM('Strukturierung Daten Montana'!J16)</f>
        <v>0.59840000000000004</v>
      </c>
      <c r="M95" s="93">
        <f>SUM('Strukturierung Daten Montana'!K16)</f>
        <v>1.9207999999999998</v>
      </c>
      <c r="N95" s="50">
        <f>SUM(B95:M95)</f>
        <v>30.234750000000002</v>
      </c>
      <c r="O95" s="51"/>
    </row>
    <row r="96" spans="1:17" s="47" customFormat="1">
      <c r="A96" s="43" t="s">
        <v>66</v>
      </c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3"/>
      <c r="O96" s="46"/>
      <c r="Q96" s="86"/>
    </row>
    <row r="97" spans="1:17" s="47" customFormat="1">
      <c r="A97" s="43" t="s">
        <v>295</v>
      </c>
      <c r="B97" s="54">
        <f>SUM('Strukturierung Daten Montana'!L19)</f>
        <v>0.76515840000000002</v>
      </c>
      <c r="C97" s="54">
        <f>SUM('Strukturierung Daten Montana'!M19)</f>
        <v>0.76515840000000002</v>
      </c>
      <c r="D97" s="54">
        <f>SUM('Strukturierung Daten Montana'!N19)</f>
        <v>0.76515840000000002</v>
      </c>
      <c r="E97" s="54">
        <f>SUM('Strukturierung Daten Montana'!C19)</f>
        <v>0.76515840000000002</v>
      </c>
      <c r="F97" s="54">
        <f>SUM('Strukturierung Daten Montana'!D19)</f>
        <v>0.76515840000000002</v>
      </c>
      <c r="G97" s="54">
        <f>SUM('Strukturierung Daten Montana'!E19)</f>
        <v>0.76515840000000002</v>
      </c>
      <c r="H97" s="54">
        <f>SUM('Strukturierung Daten Montana'!F19)</f>
        <v>0.76515840000000002</v>
      </c>
      <c r="I97" s="54">
        <f>SUM('Strukturierung Daten Montana'!G19)</f>
        <v>0.76515840000000002</v>
      </c>
      <c r="J97" s="54">
        <f>SUM('Strukturierung Daten Montana'!H19)</f>
        <v>0.76515840000000002</v>
      </c>
      <c r="K97" s="54">
        <f>SUM('Strukturierung Daten Montana'!I19)</f>
        <v>0.76515840000000002</v>
      </c>
      <c r="L97" s="54">
        <f>SUM('Strukturierung Daten Montana'!J19)</f>
        <v>0.76515840000000002</v>
      </c>
      <c r="M97" s="54">
        <f>SUM('Strukturierung Daten Montana'!K19)</f>
        <v>0.76515840000000002</v>
      </c>
      <c r="N97" s="143">
        <f>SUM(B97:M97)</f>
        <v>9.1819007999999993</v>
      </c>
      <c r="O97" s="46"/>
      <c r="Q97" s="86"/>
    </row>
    <row r="98" spans="1:17" s="47" customFormat="1">
      <c r="A98" s="43" t="s">
        <v>67</v>
      </c>
      <c r="B98" s="54">
        <f>SUM('Strukturierung Daten Montana'!L28)</f>
        <v>0.46522238050000009</v>
      </c>
      <c r="C98" s="54">
        <f>SUM('Strukturierung Daten Montana'!M28)</f>
        <v>0.54459474000000008</v>
      </c>
      <c r="D98" s="54">
        <f>SUM('Strukturierung Daten Montana'!N28)</f>
        <v>0.57767289799999999</v>
      </c>
      <c r="E98" s="54">
        <f>SUM('Strukturierung Daten Montana'!C28)</f>
        <v>0.48434738050000009</v>
      </c>
      <c r="F98" s="54">
        <f>SUM('Strukturierung Daten Montana'!D28)</f>
        <v>0.44317263400000007</v>
      </c>
      <c r="G98" s="54">
        <f>SUM('Strukturierung Daten Montana'!E28)</f>
        <v>0.47984738050000009</v>
      </c>
      <c r="H98" s="54">
        <f>SUM('Strukturierung Daten Montana'!F28)</f>
        <v>0.45337246500000006</v>
      </c>
      <c r="I98" s="54">
        <f>SUM('Strukturierung Daten Montana'!G28)</f>
        <v>0.46372238050000009</v>
      </c>
      <c r="J98" s="54">
        <f>SUM('Strukturierung Daten Montana'!H28)</f>
        <v>0.56709474000000015</v>
      </c>
      <c r="K98" s="54">
        <f>SUM('Strukturierung Daten Montana'!I28)</f>
        <v>0.58517289800000005</v>
      </c>
      <c r="L98" s="54">
        <f>SUM('Strukturierung Daten Montana'!J28)</f>
        <v>0.58442289800000002</v>
      </c>
      <c r="M98" s="54">
        <f>SUM('Strukturierung Daten Montana'!K28)</f>
        <v>0.5569697400000001</v>
      </c>
      <c r="N98" s="50">
        <f t="shared" ref="N98:N102" si="14">SUM(B98:M98)</f>
        <v>6.2056125350000002</v>
      </c>
      <c r="O98" s="46"/>
      <c r="P98" s="85"/>
      <c r="Q98" s="86"/>
    </row>
    <row r="99" spans="1:17" s="47" customFormat="1">
      <c r="A99" s="43" t="s">
        <v>70</v>
      </c>
      <c r="B99" s="54">
        <f>SUM('Strukturierung Daten Montana'!L44)</f>
        <v>0.46522238050000009</v>
      </c>
      <c r="C99" s="54">
        <f>SUM('Strukturierung Daten Montana'!M44)</f>
        <v>0.54459474000000008</v>
      </c>
      <c r="D99" s="54">
        <f>SUM('Strukturierung Daten Montana'!N44)</f>
        <v>0.57767289799999999</v>
      </c>
      <c r="E99" s="54">
        <f>SUM('Strukturierung Daten Montana'!C44)</f>
        <v>0.48434738050000009</v>
      </c>
      <c r="F99" s="54">
        <f>SUM('Strukturierung Daten Montana'!D44)</f>
        <v>0.44317263400000007</v>
      </c>
      <c r="G99" s="54">
        <f>SUM('Strukturierung Daten Montana'!E44)</f>
        <v>0.47984738050000009</v>
      </c>
      <c r="H99" s="54">
        <f>SUM('Strukturierung Daten Montana'!F44)</f>
        <v>0.45337246500000006</v>
      </c>
      <c r="I99" s="54">
        <f>SUM('Strukturierung Daten Montana'!G44)</f>
        <v>0.46372238050000009</v>
      </c>
      <c r="J99" s="54">
        <f>SUM('Strukturierung Daten Montana'!H44)</f>
        <v>0.56709474000000015</v>
      </c>
      <c r="K99" s="54">
        <f>SUM('Strukturierung Daten Montana'!I44)</f>
        <v>0.58517289800000005</v>
      </c>
      <c r="L99" s="54">
        <f>SUM('Strukturierung Daten Montana'!J44)</f>
        <v>0.58442289800000002</v>
      </c>
      <c r="M99" s="54">
        <f>SUM('Strukturierung Daten Montana'!K44)</f>
        <v>0.5569697400000001</v>
      </c>
      <c r="N99" s="50">
        <f t="shared" si="14"/>
        <v>6.2056125350000002</v>
      </c>
      <c r="O99" s="46"/>
    </row>
    <row r="100" spans="1:17">
      <c r="A100" s="43" t="s">
        <v>69</v>
      </c>
      <c r="B100" s="49">
        <f>SUM('Strukturierung Daten Montana'!L36)*(1-B107)</f>
        <v>0.79897499999999988</v>
      </c>
      <c r="C100" s="49">
        <f>SUM('Strukturierung Daten Montana'!M36)*(1-C107)</f>
        <v>0</v>
      </c>
      <c r="D100" s="49">
        <f>SUM('Strukturierung Daten Montana'!N36)*(1-D107)</f>
        <v>0</v>
      </c>
      <c r="E100" s="49">
        <f>SUM('Strukturierung Daten Montana'!C36)*(1-E107)</f>
        <v>0</v>
      </c>
      <c r="F100" s="49">
        <f>SUM('Strukturierung Daten Montana'!D36)*(1-F107)</f>
        <v>0</v>
      </c>
      <c r="G100" s="49">
        <f>SUM('Strukturierung Daten Montana'!E36)*(1-G107)</f>
        <v>0.13316249999999999</v>
      </c>
      <c r="H100" s="49">
        <f>SUM('Strukturierung Daten Montana'!F36)*(1-H107)</f>
        <v>0.65915437499999996</v>
      </c>
      <c r="I100" s="49">
        <f>SUM('Strukturierung Daten Montana'!G36)*(1-I107)</f>
        <v>0.55129274999999989</v>
      </c>
      <c r="J100" s="49">
        <f>SUM('Strukturierung Daten Montana'!H36)*(1-J107)</f>
        <v>1.2117787499999999</v>
      </c>
      <c r="K100" s="49">
        <f>SUM('Strukturierung Daten Montana'!I36)*(1-K107)</f>
        <v>2.2464513749999999</v>
      </c>
      <c r="L100" s="49">
        <f>SUM('Strukturierung Daten Montana'!J36)*(1-L107)</f>
        <v>2.3716241249999999</v>
      </c>
      <c r="M100" s="49">
        <f>SUM('Strukturierung Daten Montana'!K36)*(1-M107)</f>
        <v>1.8416373749999997</v>
      </c>
      <c r="N100" s="50">
        <f t="shared" si="14"/>
        <v>9.8140762499999994</v>
      </c>
      <c r="O100" s="51"/>
    </row>
    <row r="101" spans="1:17">
      <c r="A101" s="43" t="s">
        <v>303</v>
      </c>
      <c r="B101" s="49">
        <f>SUM('Strukturierung Daten Montana'!L36)*B107</f>
        <v>0.39352499999999996</v>
      </c>
      <c r="C101" s="49">
        <f>SUM('Strukturierung Daten Montana'!M36)*C107</f>
        <v>0</v>
      </c>
      <c r="D101" s="49">
        <f>SUM('Strukturierung Daten Montana'!N36)*D107</f>
        <v>0</v>
      </c>
      <c r="E101" s="49">
        <f>SUM('Strukturierung Daten Montana'!C36)*E107</f>
        <v>0</v>
      </c>
      <c r="F101" s="49">
        <f>SUM('Strukturierung Daten Montana'!D36)*F107</f>
        <v>0</v>
      </c>
      <c r="G101" s="49">
        <f>SUM('Strukturierung Daten Montana'!E36)*G107</f>
        <v>6.5587500000000007E-2</v>
      </c>
      <c r="H101" s="49">
        <f>SUM('Strukturierung Daten Montana'!F36)*H107</f>
        <v>0.32465812500000002</v>
      </c>
      <c r="I101" s="49">
        <f>SUM('Strukturierung Daten Montana'!G36)*I107</f>
        <v>0.27153224999999998</v>
      </c>
      <c r="J101" s="49">
        <f>SUM('Strukturierung Daten Montana'!H36)*J107</f>
        <v>0.59684625000000002</v>
      </c>
      <c r="K101" s="49">
        <f>SUM('Strukturierung Daten Montana'!I36)*K107</f>
        <v>1.1064611250000003</v>
      </c>
      <c r="L101" s="49">
        <f>SUM('Strukturierung Daten Montana'!J36)*L107</f>
        <v>1.1681133750000001</v>
      </c>
      <c r="M101" s="49">
        <f>SUM('Strukturierung Daten Montana'!K36)*M107</f>
        <v>0.90707512499999998</v>
      </c>
      <c r="N101" s="140">
        <f t="shared" ref="N101" si="15">SUM(B101:M101)</f>
        <v>4.8337987499999997</v>
      </c>
      <c r="O101" s="51"/>
    </row>
    <row r="102" spans="1:17" s="47" customFormat="1" ht="24.75" customHeight="1">
      <c r="A102" s="43" t="s">
        <v>185</v>
      </c>
      <c r="B102" s="52">
        <f>SUM(B97:B100)</f>
        <v>2.4945781610000002</v>
      </c>
      <c r="C102" s="52">
        <f>SUM(C97:C100)</f>
        <v>1.8543478800000002</v>
      </c>
      <c r="D102" s="52">
        <f>SUM(D97:D100)</f>
        <v>1.920504196</v>
      </c>
      <c r="E102" s="52">
        <f>SUM(E97:E100)</f>
        <v>1.7338531610000001</v>
      </c>
      <c r="F102" s="52">
        <f t="shared" ref="F102:M102" si="16">SUM(F97:F100)</f>
        <v>1.6515036680000001</v>
      </c>
      <c r="G102" s="52">
        <f t="shared" si="16"/>
        <v>1.8580156610000003</v>
      </c>
      <c r="H102" s="52">
        <f t="shared" si="16"/>
        <v>2.3310577050000001</v>
      </c>
      <c r="I102" s="52">
        <f t="shared" si="16"/>
        <v>2.2438959110000001</v>
      </c>
      <c r="J102" s="52">
        <f t="shared" si="16"/>
        <v>3.1111266300000002</v>
      </c>
      <c r="K102" s="52">
        <f t="shared" si="16"/>
        <v>4.1819555709999996</v>
      </c>
      <c r="L102" s="52">
        <f t="shared" si="16"/>
        <v>4.3056283210000004</v>
      </c>
      <c r="M102" s="52">
        <f t="shared" si="16"/>
        <v>3.7207352550000001</v>
      </c>
      <c r="N102" s="53">
        <f t="shared" si="14"/>
        <v>31.407202120000001</v>
      </c>
      <c r="O102" s="46"/>
    </row>
    <row r="103" spans="1:17">
      <c r="A103" s="43" t="s">
        <v>186</v>
      </c>
      <c r="B103" s="56">
        <f>SUM('Strukturierung Daten Montana'!L77)</f>
        <v>7.0772656890000007</v>
      </c>
      <c r="C103" s="56">
        <f>SUM('Strukturierung Daten Montana'!M77)</f>
        <v>9.7533345390000008</v>
      </c>
      <c r="D103" s="56">
        <f>SUM('Strukturierung Daten Montana'!N77)</f>
        <v>10.801570964000001</v>
      </c>
      <c r="E103" s="56">
        <f>SUM('Strukturierung Daten Montana'!C77)</f>
        <v>10.801570964000001</v>
      </c>
      <c r="F103" s="56">
        <f>SUM('Strukturierung Daten Montana'!D77)</f>
        <v>11.109367296000002</v>
      </c>
      <c r="G103" s="56">
        <f>SUM('Strukturierung Daten Montana'!E77)</f>
        <v>11.558014135000002</v>
      </c>
      <c r="H103" s="56">
        <f>SUM('Strukturierung Daten Montana'!F77)</f>
        <v>18.281910805000003</v>
      </c>
      <c r="I103" s="56">
        <f>SUM('Strukturierung Daten Montana'!G77)</f>
        <v>36.350582643999999</v>
      </c>
      <c r="J103" s="56">
        <f>SUM('Strukturierung Daten Montana'!H77)</f>
        <v>68.583426494000008</v>
      </c>
      <c r="K103" s="56">
        <f>SUM('Strukturierung Daten Montana'!I77)</f>
        <v>93.512412919000013</v>
      </c>
      <c r="L103" s="56">
        <f>SUM('Strukturierung Daten Montana'!J77)</f>
        <v>104.39859934400002</v>
      </c>
      <c r="M103" s="56">
        <f>SUM('Strukturierung Daten Montana'!K77)</f>
        <v>3.9296688500000005</v>
      </c>
      <c r="N103" s="50"/>
      <c r="O103" s="51"/>
    </row>
    <row r="104" spans="1:17">
      <c r="A104" s="43" t="s">
        <v>259</v>
      </c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>
        <f>SUM('Strukturierung Daten Montana'!K85)</f>
        <v>0</v>
      </c>
      <c r="O104" s="55"/>
      <c r="P104" s="86"/>
    </row>
    <row r="105" spans="1:17">
      <c r="A105" s="43" t="s">
        <v>187</v>
      </c>
      <c r="B105" s="56"/>
      <c r="C105" s="56"/>
      <c r="D105" s="56"/>
      <c r="E105" s="56"/>
      <c r="F105" s="56"/>
      <c r="G105" s="56"/>
      <c r="H105" s="56"/>
      <c r="I105" s="56">
        <f>SUM('Strukturierung Daten Montana'!G93)</f>
        <v>0</v>
      </c>
      <c r="J105" s="56"/>
      <c r="K105" s="56"/>
      <c r="L105" s="56"/>
      <c r="M105" s="56"/>
      <c r="O105" s="55"/>
      <c r="P105" s="86"/>
    </row>
    <row r="106" spans="1:17">
      <c r="A106" s="43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O106" s="55"/>
      <c r="P106" s="86"/>
    </row>
    <row r="107" spans="1:17">
      <c r="A107" s="43" t="s">
        <v>301</v>
      </c>
      <c r="B107" s="63">
        <v>0.33</v>
      </c>
      <c r="C107" s="63">
        <v>0.33</v>
      </c>
      <c r="D107" s="63">
        <v>0.33</v>
      </c>
      <c r="E107" s="63">
        <v>0.33</v>
      </c>
      <c r="F107" s="63">
        <v>0.33</v>
      </c>
      <c r="G107" s="63">
        <v>0.33</v>
      </c>
      <c r="H107" s="63">
        <v>0.33</v>
      </c>
      <c r="I107" s="63">
        <v>0.33</v>
      </c>
      <c r="J107" s="63">
        <v>0.33</v>
      </c>
      <c r="K107" s="63">
        <v>0.33</v>
      </c>
      <c r="L107" s="63">
        <v>0.33</v>
      </c>
      <c r="M107" s="63">
        <v>0.33</v>
      </c>
      <c r="O107" s="55"/>
    </row>
    <row r="108" spans="1:17">
      <c r="A108" s="48"/>
      <c r="B108" s="56"/>
      <c r="C108" s="63"/>
      <c r="D108" s="48"/>
      <c r="E108" s="48"/>
      <c r="F108" s="48"/>
      <c r="G108" s="144"/>
      <c r="H108" s="56"/>
      <c r="I108" s="56"/>
      <c r="J108" s="56"/>
      <c r="K108" s="56"/>
      <c r="L108" s="56"/>
      <c r="M108" s="56"/>
      <c r="O108" s="55"/>
    </row>
    <row r="109" spans="1:17">
      <c r="A109" s="43" t="s">
        <v>302</v>
      </c>
      <c r="B109" s="142">
        <f>M109-B89</f>
        <v>34</v>
      </c>
      <c r="C109" s="142">
        <f t="shared" ref="C109:F109" si="17">B109-C89</f>
        <v>26</v>
      </c>
      <c r="D109" s="142">
        <f t="shared" si="17"/>
        <v>14</v>
      </c>
      <c r="E109" s="142">
        <f t="shared" si="17"/>
        <v>2</v>
      </c>
      <c r="F109" s="142">
        <f t="shared" si="17"/>
        <v>0</v>
      </c>
      <c r="G109" s="142">
        <f>-G89</f>
        <v>0</v>
      </c>
      <c r="H109" s="142">
        <f>G109-H89</f>
        <v>6</v>
      </c>
      <c r="I109" s="142">
        <f t="shared" ref="I109:M109" si="18">H109-I89</f>
        <v>19</v>
      </c>
      <c r="J109" s="142">
        <f t="shared" si="18"/>
        <v>34</v>
      </c>
      <c r="K109" s="142">
        <f t="shared" si="18"/>
        <v>40</v>
      </c>
      <c r="L109" s="142">
        <f t="shared" si="18"/>
        <v>36</v>
      </c>
      <c r="M109" s="142">
        <f t="shared" si="18"/>
        <v>35</v>
      </c>
      <c r="O109" s="55"/>
    </row>
    <row r="110" spans="1:17" s="48" customFormat="1">
      <c r="E110" s="58"/>
      <c r="O110" s="76"/>
    </row>
    <row r="111" spans="1:17" s="48" customFormat="1">
      <c r="E111" s="58"/>
      <c r="O111" s="76"/>
    </row>
    <row r="112" spans="1:17" s="48" customFormat="1">
      <c r="E112" s="58"/>
      <c r="O112" s="76"/>
    </row>
    <row r="113" spans="5:15" s="48" customFormat="1">
      <c r="E113" s="58"/>
      <c r="O113" s="76"/>
    </row>
    <row r="114" spans="5:15" s="48" customFormat="1">
      <c r="E114" s="58"/>
      <c r="O114" s="76"/>
    </row>
    <row r="115" spans="5:15" s="48" customFormat="1">
      <c r="E115" s="58"/>
      <c r="O115" s="76"/>
    </row>
    <row r="116" spans="5:15" s="48" customFormat="1">
      <c r="E116" s="58"/>
      <c r="O116" s="76"/>
    </row>
    <row r="117" spans="5:15" s="48" customFormat="1">
      <c r="E117" s="58"/>
      <c r="O117" s="76"/>
    </row>
    <row r="118" spans="5:15" s="48" customFormat="1">
      <c r="E118" s="58"/>
      <c r="O118" s="76"/>
    </row>
    <row r="119" spans="5:15" s="48" customFormat="1">
      <c r="E119" s="58"/>
      <c r="O119" s="76"/>
    </row>
    <row r="120" spans="5:15" s="48" customFormat="1">
      <c r="E120" s="58"/>
      <c r="O120" s="76"/>
    </row>
    <row r="121" spans="5:15" s="48" customFormat="1">
      <c r="E121" s="58"/>
      <c r="O121" s="76"/>
    </row>
    <row r="122" spans="5:15" s="48" customFormat="1">
      <c r="E122" s="58"/>
      <c r="O122" s="76"/>
    </row>
    <row r="123" spans="5:15" s="48" customFormat="1">
      <c r="E123" s="58"/>
      <c r="O123" s="76"/>
    </row>
    <row r="124" spans="5:15" s="48" customFormat="1">
      <c r="E124" s="58"/>
      <c r="O124" s="76"/>
    </row>
    <row r="125" spans="5:15" s="48" customFormat="1">
      <c r="E125" s="58"/>
      <c r="O125" s="76"/>
    </row>
    <row r="126" spans="5:15" s="48" customFormat="1">
      <c r="E126" s="58"/>
      <c r="O126" s="76"/>
    </row>
    <row r="127" spans="5:15" s="48" customFormat="1">
      <c r="E127" s="58"/>
      <c r="O127" s="76"/>
    </row>
    <row r="128" spans="5:15" s="48" customFormat="1">
      <c r="E128" s="58"/>
      <c r="O128" s="76"/>
    </row>
    <row r="129" spans="5:15" s="48" customFormat="1">
      <c r="E129" s="58"/>
      <c r="O129" s="76"/>
    </row>
    <row r="130" spans="5:15" s="48" customFormat="1">
      <c r="E130" s="58"/>
      <c r="O130" s="76"/>
    </row>
    <row r="131" spans="5:15" s="48" customFormat="1">
      <c r="E131" s="58"/>
      <c r="O131" s="76"/>
    </row>
    <row r="132" spans="5:15" s="48" customFormat="1">
      <c r="E132" s="58"/>
      <c r="O132" s="76"/>
    </row>
    <row r="133" spans="5:15" s="48" customFormat="1">
      <c r="E133" s="58"/>
      <c r="O133" s="76"/>
    </row>
    <row r="134" spans="5:15" s="48" customFormat="1">
      <c r="E134" s="58"/>
      <c r="O134" s="76"/>
    </row>
    <row r="135" spans="5:15" s="48" customFormat="1">
      <c r="E135" s="58"/>
      <c r="O135" s="76"/>
    </row>
    <row r="136" spans="5:15" s="48" customFormat="1">
      <c r="E136" s="58"/>
      <c r="O136" s="76"/>
    </row>
    <row r="137" spans="5:15" s="48" customFormat="1">
      <c r="E137" s="58"/>
      <c r="O137" s="76"/>
    </row>
    <row r="138" spans="5:15" s="48" customFormat="1">
      <c r="E138" s="58"/>
      <c r="O138" s="76"/>
    </row>
    <row r="139" spans="5:15" s="48" customFormat="1">
      <c r="E139" s="58"/>
      <c r="O139" s="76"/>
    </row>
    <row r="140" spans="5:15" s="48" customFormat="1">
      <c r="E140" s="58"/>
      <c r="O140" s="76"/>
    </row>
    <row r="141" spans="5:15" s="48" customFormat="1">
      <c r="E141" s="58"/>
      <c r="O141" s="76"/>
    </row>
    <row r="142" spans="5:15" s="48" customFormat="1">
      <c r="E142" s="58"/>
      <c r="O142" s="76"/>
    </row>
    <row r="143" spans="5:15" s="48" customFormat="1">
      <c r="E143" s="58"/>
      <c r="O143" s="76"/>
    </row>
    <row r="144" spans="5:15" s="48" customFormat="1">
      <c r="E144" s="58"/>
      <c r="O144" s="76"/>
    </row>
    <row r="145" spans="5:15" s="48" customFormat="1">
      <c r="E145" s="58"/>
      <c r="O145" s="76"/>
    </row>
    <row r="146" spans="5:15" s="48" customFormat="1">
      <c r="E146" s="58"/>
      <c r="O146" s="76"/>
    </row>
    <row r="147" spans="5:15" s="48" customFormat="1">
      <c r="E147" s="58"/>
      <c r="O147" s="76"/>
    </row>
    <row r="148" spans="5:15" s="48" customFormat="1">
      <c r="E148" s="58"/>
      <c r="O148" s="76"/>
    </row>
    <row r="149" spans="5:15" s="48" customFormat="1">
      <c r="E149" s="58"/>
      <c r="O149" s="76"/>
    </row>
    <row r="150" spans="5:15" s="48" customFormat="1">
      <c r="E150" s="58"/>
      <c r="O150" s="76"/>
    </row>
    <row r="151" spans="5:15" s="48" customFormat="1">
      <c r="E151" s="58"/>
      <c r="O151" s="76"/>
    </row>
    <row r="152" spans="5:15" s="48" customFormat="1">
      <c r="E152" s="58"/>
      <c r="O152" s="76"/>
    </row>
    <row r="153" spans="5:15" s="48" customFormat="1">
      <c r="E153" s="58"/>
      <c r="O153" s="76"/>
    </row>
    <row r="154" spans="5:15" s="48" customFormat="1">
      <c r="E154" s="58"/>
      <c r="O154" s="76"/>
    </row>
    <row r="155" spans="5:15" s="48" customFormat="1">
      <c r="E155" s="58"/>
      <c r="O155" s="76"/>
    </row>
    <row r="156" spans="5:15" s="48" customFormat="1">
      <c r="E156" s="58"/>
      <c r="O156" s="76"/>
    </row>
    <row r="157" spans="5:15" s="48" customFormat="1">
      <c r="E157" s="58"/>
      <c r="O157" s="76"/>
    </row>
    <row r="158" spans="5:15" s="48" customFormat="1">
      <c r="E158" s="58"/>
      <c r="O158" s="76"/>
    </row>
    <row r="159" spans="5:15" s="48" customFormat="1">
      <c r="E159" s="58"/>
      <c r="O159" s="76"/>
    </row>
    <row r="160" spans="5:15" s="48" customFormat="1">
      <c r="E160" s="58"/>
      <c r="O160" s="76"/>
    </row>
    <row r="161" spans="5:15" s="48" customFormat="1">
      <c r="E161" s="58"/>
      <c r="O161" s="76"/>
    </row>
    <row r="162" spans="5:15" s="48" customFormat="1">
      <c r="E162" s="58"/>
      <c r="O162" s="76"/>
    </row>
    <row r="163" spans="5:15" s="48" customFormat="1">
      <c r="E163" s="58"/>
      <c r="O163" s="76"/>
    </row>
    <row r="164" spans="5:15" s="48" customFormat="1">
      <c r="E164" s="58"/>
      <c r="O164" s="76"/>
    </row>
    <row r="165" spans="5:15" s="48" customFormat="1">
      <c r="E165" s="58"/>
      <c r="O165" s="76"/>
    </row>
    <row r="166" spans="5:15" s="48" customFormat="1">
      <c r="E166" s="58"/>
      <c r="O166" s="76"/>
    </row>
    <row r="167" spans="5:15" s="48" customFormat="1">
      <c r="E167" s="58"/>
      <c r="O167" s="76"/>
    </row>
    <row r="168" spans="5:15" s="48" customFormat="1">
      <c r="E168" s="58"/>
      <c r="O168" s="76"/>
    </row>
    <row r="169" spans="5:15" s="48" customFormat="1">
      <c r="E169" s="58"/>
      <c r="O169" s="76"/>
    </row>
    <row r="170" spans="5:15" s="48" customFormat="1">
      <c r="E170" s="58"/>
      <c r="O170" s="76"/>
    </row>
    <row r="171" spans="5:15" s="48" customFormat="1">
      <c r="E171" s="58"/>
      <c r="O171" s="76"/>
    </row>
    <row r="172" spans="5:15" s="48" customFormat="1">
      <c r="E172" s="58"/>
      <c r="O172" s="76"/>
    </row>
    <row r="173" spans="5:15" s="48" customFormat="1">
      <c r="E173" s="58"/>
      <c r="O173" s="76"/>
    </row>
    <row r="174" spans="5:15" s="48" customFormat="1">
      <c r="E174" s="58"/>
      <c r="O174" s="76"/>
    </row>
    <row r="175" spans="5:15" s="48" customFormat="1">
      <c r="E175" s="58"/>
      <c r="O175" s="76"/>
    </row>
    <row r="176" spans="5:15" s="48" customFormat="1">
      <c r="E176" s="58"/>
      <c r="O176" s="76"/>
    </row>
    <row r="177" spans="5:15" s="48" customFormat="1">
      <c r="E177" s="58"/>
      <c r="O177" s="76"/>
    </row>
    <row r="178" spans="5:15" s="48" customFormat="1">
      <c r="E178" s="58"/>
      <c r="O178" s="76"/>
    </row>
    <row r="179" spans="5:15" s="48" customFormat="1">
      <c r="E179" s="58"/>
      <c r="O179" s="76"/>
    </row>
    <row r="180" spans="5:15" s="48" customFormat="1">
      <c r="E180" s="58"/>
      <c r="O180" s="76"/>
    </row>
    <row r="181" spans="5:15" s="48" customFormat="1">
      <c r="E181" s="58"/>
      <c r="O181" s="76"/>
    </row>
    <row r="182" spans="5:15" s="48" customFormat="1">
      <c r="E182" s="58"/>
      <c r="O182" s="76"/>
    </row>
    <row r="183" spans="5:15" s="48" customFormat="1">
      <c r="E183" s="58"/>
      <c r="O183" s="76"/>
    </row>
    <row r="184" spans="5:15" s="48" customFormat="1">
      <c r="E184" s="58"/>
      <c r="O184" s="76"/>
    </row>
    <row r="185" spans="5:15" s="48" customFormat="1">
      <c r="E185" s="58"/>
      <c r="O185" s="76"/>
    </row>
    <row r="186" spans="5:15" s="48" customFormat="1">
      <c r="E186" s="58"/>
      <c r="O186" s="76"/>
    </row>
    <row r="187" spans="5:15" s="48" customFormat="1">
      <c r="E187" s="58"/>
      <c r="O187" s="76"/>
    </row>
    <row r="188" spans="5:15" s="48" customFormat="1">
      <c r="E188" s="58"/>
      <c r="O188" s="76"/>
    </row>
    <row r="189" spans="5:15" s="48" customFormat="1">
      <c r="E189" s="58"/>
      <c r="O189" s="76"/>
    </row>
    <row r="190" spans="5:15" s="48" customFormat="1">
      <c r="E190" s="58"/>
      <c r="O190" s="76"/>
    </row>
    <row r="191" spans="5:15" s="48" customFormat="1">
      <c r="E191" s="58"/>
      <c r="O191" s="76"/>
    </row>
    <row r="192" spans="5:15" s="48" customFormat="1">
      <c r="E192" s="58"/>
      <c r="O192" s="76"/>
    </row>
    <row r="193" spans="5:15" s="48" customFormat="1">
      <c r="E193" s="58"/>
      <c r="O193" s="76"/>
    </row>
    <row r="194" spans="5:15" s="48" customFormat="1">
      <c r="E194" s="58"/>
      <c r="O194" s="76"/>
    </row>
    <row r="195" spans="5:15" s="48" customFormat="1">
      <c r="E195" s="58"/>
      <c r="O195" s="76"/>
    </row>
    <row r="196" spans="5:15" s="48" customFormat="1">
      <c r="E196" s="58"/>
      <c r="O196" s="76"/>
    </row>
    <row r="197" spans="5:15" s="48" customFormat="1">
      <c r="E197" s="58"/>
      <c r="O197" s="76"/>
    </row>
    <row r="198" spans="5:15" s="48" customFormat="1">
      <c r="E198" s="58"/>
      <c r="O198" s="76"/>
    </row>
    <row r="199" spans="5:15" s="48" customFormat="1">
      <c r="E199" s="58"/>
      <c r="O199" s="76"/>
    </row>
    <row r="200" spans="5:15" s="48" customFormat="1">
      <c r="E200" s="58"/>
      <c r="O200" s="76"/>
    </row>
    <row r="201" spans="5:15" s="48" customFormat="1">
      <c r="E201" s="58"/>
      <c r="O201" s="76"/>
    </row>
    <row r="202" spans="5:15" s="48" customFormat="1">
      <c r="E202" s="58"/>
      <c r="O202" s="76"/>
    </row>
    <row r="203" spans="5:15" s="48" customFormat="1">
      <c r="E203" s="58"/>
      <c r="O203" s="76"/>
    </row>
    <row r="204" spans="5:15" s="48" customFormat="1">
      <c r="E204" s="58"/>
      <c r="O204" s="76"/>
    </row>
    <row r="205" spans="5:15" s="48" customFormat="1">
      <c r="E205" s="58"/>
      <c r="O205" s="76"/>
    </row>
    <row r="206" spans="5:15" s="48" customFormat="1">
      <c r="E206" s="58"/>
      <c r="O206" s="76"/>
    </row>
    <row r="207" spans="5:15" s="48" customFormat="1">
      <c r="E207" s="58"/>
      <c r="O207" s="76"/>
    </row>
    <row r="208" spans="5:15" s="48" customFormat="1">
      <c r="E208" s="58"/>
      <c r="O208" s="76"/>
    </row>
    <row r="209" spans="5:15" s="48" customFormat="1">
      <c r="E209" s="58"/>
      <c r="O209" s="76"/>
    </row>
    <row r="210" spans="5:15" s="48" customFormat="1">
      <c r="E210" s="58"/>
      <c r="O210" s="76"/>
    </row>
    <row r="211" spans="5:15" s="48" customFormat="1">
      <c r="E211" s="58"/>
      <c r="O211" s="76"/>
    </row>
    <row r="212" spans="5:15" s="48" customFormat="1">
      <c r="E212" s="58"/>
      <c r="O212" s="76"/>
    </row>
    <row r="213" spans="5:15" s="48" customFormat="1">
      <c r="E213" s="58"/>
      <c r="O213" s="76"/>
    </row>
    <row r="214" spans="5:15" s="48" customFormat="1">
      <c r="E214" s="58"/>
      <c r="O214" s="76"/>
    </row>
    <row r="215" spans="5:15" s="48" customFormat="1">
      <c r="E215" s="58"/>
      <c r="O215" s="76"/>
    </row>
    <row r="216" spans="5:15" s="48" customFormat="1">
      <c r="E216" s="58"/>
      <c r="O216" s="76"/>
    </row>
    <row r="217" spans="5:15" s="48" customFormat="1">
      <c r="E217" s="58"/>
      <c r="O217" s="76"/>
    </row>
    <row r="218" spans="5:15" s="48" customFormat="1">
      <c r="E218" s="58"/>
      <c r="O218" s="76"/>
    </row>
    <row r="219" spans="5:15" s="48" customFormat="1">
      <c r="E219" s="58"/>
      <c r="O219" s="76"/>
    </row>
    <row r="220" spans="5:15" s="48" customFormat="1">
      <c r="E220" s="58"/>
      <c r="O220" s="76"/>
    </row>
    <row r="221" spans="5:15" s="48" customFormat="1">
      <c r="E221" s="58"/>
      <c r="O221" s="76"/>
    </row>
    <row r="222" spans="5:15" s="48" customFormat="1">
      <c r="E222" s="58"/>
      <c r="O222" s="76"/>
    </row>
    <row r="223" spans="5:15" s="48" customFormat="1">
      <c r="E223" s="58"/>
      <c r="O223" s="76"/>
    </row>
    <row r="224" spans="5:15" s="48" customFormat="1">
      <c r="E224" s="58"/>
      <c r="O224" s="76"/>
    </row>
    <row r="225" spans="5:15" s="48" customFormat="1">
      <c r="E225" s="58"/>
      <c r="O225" s="76"/>
    </row>
    <row r="226" spans="5:15" s="48" customFormat="1">
      <c r="E226" s="58"/>
      <c r="O226" s="76"/>
    </row>
    <row r="227" spans="5:15" s="48" customFormat="1">
      <c r="E227" s="58"/>
      <c r="O227" s="76"/>
    </row>
    <row r="228" spans="5:15" s="48" customFormat="1">
      <c r="E228" s="58"/>
      <c r="O228" s="76"/>
    </row>
    <row r="229" spans="5:15" s="48" customFormat="1">
      <c r="E229" s="58"/>
      <c r="O229" s="76"/>
    </row>
    <row r="230" spans="5:15" s="48" customFormat="1">
      <c r="E230" s="58"/>
      <c r="O230" s="76"/>
    </row>
    <row r="231" spans="5:15" s="48" customFormat="1">
      <c r="E231" s="58"/>
      <c r="O231" s="76"/>
    </row>
    <row r="232" spans="5:15" s="48" customFormat="1">
      <c r="E232" s="58"/>
      <c r="O232" s="76"/>
    </row>
    <row r="233" spans="5:15" s="48" customFormat="1">
      <c r="E233" s="58"/>
      <c r="O233" s="76"/>
    </row>
    <row r="234" spans="5:15" s="48" customFormat="1">
      <c r="E234" s="58"/>
      <c r="O234" s="76"/>
    </row>
    <row r="235" spans="5:15" s="48" customFormat="1">
      <c r="E235" s="58"/>
      <c r="O235" s="76"/>
    </row>
    <row r="236" spans="5:15" s="48" customFormat="1">
      <c r="E236" s="58"/>
      <c r="O236" s="76"/>
    </row>
    <row r="237" spans="5:15" s="48" customFormat="1">
      <c r="E237" s="58"/>
      <c r="O237" s="76"/>
    </row>
    <row r="238" spans="5:15" s="48" customFormat="1">
      <c r="E238" s="58"/>
      <c r="O238" s="76"/>
    </row>
    <row r="239" spans="5:15" s="48" customFormat="1">
      <c r="E239" s="58"/>
      <c r="O239" s="76"/>
    </row>
    <row r="240" spans="5:15" s="48" customFormat="1">
      <c r="E240" s="58"/>
      <c r="O240" s="76"/>
    </row>
    <row r="241" spans="5:15" s="48" customFormat="1">
      <c r="E241" s="58"/>
      <c r="O241" s="76"/>
    </row>
    <row r="242" spans="5:15" s="48" customFormat="1">
      <c r="E242" s="58"/>
      <c r="O242" s="76"/>
    </row>
    <row r="243" spans="5:15" s="48" customFormat="1">
      <c r="E243" s="58"/>
      <c r="O243" s="76"/>
    </row>
    <row r="244" spans="5:15" s="48" customFormat="1">
      <c r="E244" s="58"/>
      <c r="O244" s="76"/>
    </row>
    <row r="245" spans="5:15" s="48" customFormat="1">
      <c r="E245" s="58"/>
      <c r="O245" s="76"/>
    </row>
    <row r="246" spans="5:15" s="48" customFormat="1">
      <c r="E246" s="58"/>
      <c r="O246" s="76"/>
    </row>
    <row r="247" spans="5:15" s="48" customFormat="1">
      <c r="E247" s="58"/>
      <c r="O247" s="76"/>
    </row>
    <row r="248" spans="5:15" s="48" customFormat="1">
      <c r="E248" s="58"/>
      <c r="O248" s="76"/>
    </row>
    <row r="249" spans="5:15" s="48" customFormat="1">
      <c r="E249" s="58"/>
      <c r="O249" s="76"/>
    </row>
    <row r="250" spans="5:15" s="48" customFormat="1">
      <c r="E250" s="58"/>
      <c r="O250" s="76"/>
    </row>
    <row r="251" spans="5:15" s="48" customFormat="1">
      <c r="E251" s="58"/>
      <c r="O251" s="76"/>
    </row>
    <row r="252" spans="5:15" s="48" customFormat="1">
      <c r="E252" s="58"/>
      <c r="O252" s="76"/>
    </row>
    <row r="253" spans="5:15" s="48" customFormat="1">
      <c r="E253" s="58"/>
      <c r="O253" s="76"/>
    </row>
    <row r="254" spans="5:15" s="48" customFormat="1">
      <c r="E254" s="58"/>
      <c r="O254" s="76"/>
    </row>
    <row r="255" spans="5:15" s="48" customFormat="1">
      <c r="E255" s="58"/>
      <c r="O255" s="76"/>
    </row>
    <row r="256" spans="5:15" s="48" customFormat="1">
      <c r="E256" s="58"/>
      <c r="O256" s="76"/>
    </row>
    <row r="257" spans="5:15" s="48" customFormat="1">
      <c r="E257" s="58"/>
      <c r="O257" s="76"/>
    </row>
    <row r="258" spans="5:15" s="48" customFormat="1">
      <c r="E258" s="58"/>
      <c r="O258" s="76"/>
    </row>
    <row r="259" spans="5:15" s="48" customFormat="1">
      <c r="E259" s="58"/>
      <c r="O259" s="76"/>
    </row>
    <row r="260" spans="5:15" s="48" customFormat="1">
      <c r="E260" s="58"/>
      <c r="O260" s="76"/>
    </row>
    <row r="261" spans="5:15" s="48" customFormat="1">
      <c r="E261" s="58"/>
      <c r="O261" s="76"/>
    </row>
    <row r="262" spans="5:15" s="48" customFormat="1">
      <c r="E262" s="58"/>
      <c r="O262" s="76"/>
    </row>
    <row r="263" spans="5:15" s="48" customFormat="1">
      <c r="E263" s="58"/>
      <c r="O263" s="76"/>
    </row>
    <row r="264" spans="5:15" s="48" customFormat="1">
      <c r="E264" s="58"/>
      <c r="O264" s="76"/>
    </row>
    <row r="265" spans="5:15" s="48" customFormat="1">
      <c r="E265" s="58"/>
      <c r="O265" s="76"/>
    </row>
    <row r="266" spans="5:15" s="48" customFormat="1">
      <c r="E266" s="58"/>
      <c r="O266" s="76"/>
    </row>
    <row r="267" spans="5:15" s="48" customFormat="1">
      <c r="E267" s="58"/>
      <c r="O267" s="76"/>
    </row>
    <row r="268" spans="5:15" s="48" customFormat="1">
      <c r="E268" s="58"/>
      <c r="O268" s="76"/>
    </row>
    <row r="269" spans="5:15" s="48" customFormat="1">
      <c r="E269" s="58"/>
      <c r="O269" s="76"/>
    </row>
    <row r="270" spans="5:15" s="48" customFormat="1">
      <c r="E270" s="58"/>
      <c r="O270" s="76"/>
    </row>
    <row r="271" spans="5:15" s="48" customFormat="1">
      <c r="E271" s="58"/>
      <c r="O271" s="76"/>
    </row>
    <row r="272" spans="5:15" s="48" customFormat="1">
      <c r="E272" s="58"/>
      <c r="O272" s="76"/>
    </row>
    <row r="273" spans="5:15" s="48" customFormat="1">
      <c r="E273" s="58"/>
      <c r="O273" s="76"/>
    </row>
    <row r="274" spans="5:15" s="48" customFormat="1">
      <c r="E274" s="58"/>
      <c r="O274" s="76"/>
    </row>
    <row r="275" spans="5:15" s="48" customFormat="1">
      <c r="E275" s="58"/>
      <c r="O275" s="76"/>
    </row>
    <row r="276" spans="5:15" s="48" customFormat="1">
      <c r="E276" s="58"/>
      <c r="O276" s="76"/>
    </row>
    <row r="277" spans="5:15" s="48" customFormat="1">
      <c r="E277" s="58"/>
      <c r="O277" s="76"/>
    </row>
    <row r="278" spans="5:15" s="48" customFormat="1">
      <c r="E278" s="58"/>
      <c r="O278" s="76"/>
    </row>
    <row r="279" spans="5:15" s="48" customFormat="1">
      <c r="E279" s="58"/>
      <c r="O279" s="76"/>
    </row>
    <row r="280" spans="5:15" s="48" customFormat="1">
      <c r="E280" s="58"/>
      <c r="O280" s="76"/>
    </row>
    <row r="281" spans="5:15" s="48" customFormat="1">
      <c r="E281" s="58"/>
      <c r="O281" s="76"/>
    </row>
    <row r="282" spans="5:15" s="48" customFormat="1">
      <c r="E282" s="58"/>
      <c r="O282" s="76"/>
    </row>
    <row r="283" spans="5:15" s="48" customFormat="1">
      <c r="E283" s="58"/>
      <c r="O283" s="76"/>
    </row>
    <row r="284" spans="5:15" s="48" customFormat="1">
      <c r="E284" s="58"/>
      <c r="O284" s="76"/>
    </row>
    <row r="285" spans="5:15" s="48" customFormat="1">
      <c r="E285" s="58"/>
      <c r="O285" s="76"/>
    </row>
    <row r="286" spans="5:15" s="48" customFormat="1">
      <c r="E286" s="58"/>
      <c r="O286" s="76"/>
    </row>
    <row r="287" spans="5:15" s="48" customFormat="1">
      <c r="E287" s="58"/>
      <c r="O287" s="76"/>
    </row>
    <row r="288" spans="5:15" s="48" customFormat="1">
      <c r="E288" s="58"/>
      <c r="O288" s="76"/>
    </row>
    <row r="289" spans="5:15" s="48" customFormat="1">
      <c r="E289" s="58"/>
      <c r="O289" s="76"/>
    </row>
    <row r="290" spans="5:15" s="48" customFormat="1">
      <c r="E290" s="58"/>
      <c r="O290" s="76"/>
    </row>
    <row r="291" spans="5:15" s="48" customFormat="1">
      <c r="E291" s="58"/>
      <c r="O291" s="76"/>
    </row>
    <row r="292" spans="5:15" s="48" customFormat="1">
      <c r="E292" s="58"/>
      <c r="O292" s="76"/>
    </row>
    <row r="293" spans="5:15" s="48" customFormat="1">
      <c r="E293" s="58"/>
      <c r="O293" s="76"/>
    </row>
    <row r="294" spans="5:15" s="48" customFormat="1">
      <c r="E294" s="58"/>
      <c r="O294" s="76"/>
    </row>
    <row r="295" spans="5:15" s="48" customFormat="1">
      <c r="E295" s="58"/>
      <c r="O295" s="76"/>
    </row>
    <row r="296" spans="5:15" s="48" customFormat="1">
      <c r="E296" s="58"/>
      <c r="O296" s="76"/>
    </row>
    <row r="297" spans="5:15" s="48" customFormat="1">
      <c r="E297" s="58"/>
      <c r="O297" s="76"/>
    </row>
    <row r="298" spans="5:15" s="48" customFormat="1">
      <c r="E298" s="58"/>
      <c r="O298" s="76"/>
    </row>
    <row r="299" spans="5:15" s="48" customFormat="1">
      <c r="E299" s="58"/>
      <c r="O299" s="76"/>
    </row>
    <row r="300" spans="5:15" s="48" customFormat="1">
      <c r="E300" s="58"/>
      <c r="O300" s="76"/>
    </row>
    <row r="301" spans="5:15" s="48" customFormat="1">
      <c r="E301" s="58"/>
      <c r="O301" s="76"/>
    </row>
    <row r="302" spans="5:15" s="48" customFormat="1">
      <c r="E302" s="58"/>
      <c r="O302" s="76"/>
    </row>
    <row r="303" spans="5:15" s="48" customFormat="1">
      <c r="E303" s="58"/>
      <c r="O303" s="76"/>
    </row>
    <row r="304" spans="5:15" s="48" customFormat="1">
      <c r="E304" s="58"/>
      <c r="O304" s="76"/>
    </row>
    <row r="305" spans="5:15" s="48" customFormat="1">
      <c r="E305" s="58"/>
      <c r="O305" s="76"/>
    </row>
    <row r="306" spans="5:15" s="48" customFormat="1">
      <c r="E306" s="58"/>
      <c r="O306" s="76"/>
    </row>
    <row r="307" spans="5:15" s="48" customFormat="1">
      <c r="E307" s="58"/>
      <c r="O307" s="76"/>
    </row>
    <row r="308" spans="5:15" s="48" customFormat="1">
      <c r="E308" s="58"/>
      <c r="O308" s="76"/>
    </row>
    <row r="309" spans="5:15" s="48" customFormat="1">
      <c r="E309" s="58"/>
      <c r="O309" s="76"/>
    </row>
    <row r="310" spans="5:15" s="48" customFormat="1">
      <c r="E310" s="58"/>
      <c r="O310" s="76"/>
    </row>
    <row r="311" spans="5:15" s="48" customFormat="1">
      <c r="E311" s="58"/>
      <c r="O311" s="76"/>
    </row>
    <row r="312" spans="5:15" s="48" customFormat="1">
      <c r="E312" s="58"/>
      <c r="O312" s="76"/>
    </row>
    <row r="313" spans="5:15" s="48" customFormat="1">
      <c r="E313" s="58"/>
      <c r="O313" s="76"/>
    </row>
    <row r="314" spans="5:15" s="48" customFormat="1">
      <c r="E314" s="58"/>
      <c r="O314" s="76"/>
    </row>
    <row r="315" spans="5:15" s="48" customFormat="1">
      <c r="E315" s="58"/>
      <c r="O315" s="76"/>
    </row>
    <row r="316" spans="5:15" s="48" customFormat="1">
      <c r="E316" s="58"/>
      <c r="O316" s="76"/>
    </row>
    <row r="317" spans="5:15" s="48" customFormat="1">
      <c r="E317" s="58"/>
      <c r="O317" s="76"/>
    </row>
    <row r="318" spans="5:15" s="48" customFormat="1">
      <c r="E318" s="58"/>
      <c r="O318" s="76"/>
    </row>
    <row r="319" spans="5:15" s="48" customFormat="1">
      <c r="E319" s="58"/>
      <c r="O319" s="76"/>
    </row>
    <row r="320" spans="5:15" s="48" customFormat="1">
      <c r="E320" s="58"/>
      <c r="O320" s="76"/>
    </row>
    <row r="321" spans="5:15" s="48" customFormat="1">
      <c r="E321" s="58"/>
      <c r="O321" s="76"/>
    </row>
    <row r="322" spans="5:15" s="48" customFormat="1">
      <c r="E322" s="58"/>
      <c r="O322" s="76"/>
    </row>
    <row r="323" spans="5:15" s="48" customFormat="1">
      <c r="E323" s="58"/>
      <c r="O323" s="76"/>
    </row>
    <row r="324" spans="5:15" s="48" customFormat="1">
      <c r="E324" s="58"/>
      <c r="O324" s="76"/>
    </row>
    <row r="325" spans="5:15" s="48" customFormat="1">
      <c r="E325" s="58"/>
      <c r="O325" s="76"/>
    </row>
    <row r="326" spans="5:15" s="48" customFormat="1">
      <c r="E326" s="58"/>
      <c r="O326" s="76"/>
    </row>
    <row r="327" spans="5:15" s="48" customFormat="1">
      <c r="E327" s="58"/>
      <c r="O327" s="76"/>
    </row>
    <row r="328" spans="5:15" s="48" customFormat="1">
      <c r="E328" s="58"/>
      <c r="O328" s="76"/>
    </row>
    <row r="329" spans="5:15" s="48" customFormat="1">
      <c r="E329" s="58"/>
      <c r="O329" s="76"/>
    </row>
    <row r="330" spans="5:15" s="48" customFormat="1">
      <c r="E330" s="58"/>
      <c r="O330" s="76"/>
    </row>
    <row r="331" spans="5:15" s="48" customFormat="1">
      <c r="E331" s="58"/>
      <c r="O331" s="76"/>
    </row>
    <row r="332" spans="5:15" s="48" customFormat="1">
      <c r="E332" s="58"/>
      <c r="O332" s="76"/>
    </row>
    <row r="333" spans="5:15" s="48" customFormat="1">
      <c r="E333" s="58"/>
      <c r="O333" s="76"/>
    </row>
    <row r="334" spans="5:15" s="48" customFormat="1">
      <c r="E334" s="58"/>
      <c r="O334" s="76"/>
    </row>
    <row r="335" spans="5:15" s="48" customFormat="1">
      <c r="E335" s="58"/>
      <c r="O335" s="76"/>
    </row>
    <row r="336" spans="5:15" s="48" customFormat="1">
      <c r="E336" s="58"/>
      <c r="O336" s="76"/>
    </row>
    <row r="337" spans="5:15" s="48" customFormat="1">
      <c r="E337" s="58"/>
      <c r="O337" s="76"/>
    </row>
    <row r="338" spans="5:15" s="48" customFormat="1">
      <c r="E338" s="58"/>
      <c r="O338" s="76"/>
    </row>
    <row r="339" spans="5:15" s="48" customFormat="1">
      <c r="E339" s="58"/>
      <c r="O339" s="76"/>
    </row>
    <row r="340" spans="5:15" s="48" customFormat="1">
      <c r="E340" s="58"/>
      <c r="O340" s="76"/>
    </row>
    <row r="341" spans="5:15" s="48" customFormat="1">
      <c r="E341" s="58"/>
      <c r="O341" s="76"/>
    </row>
    <row r="342" spans="5:15" s="48" customFormat="1">
      <c r="E342" s="58"/>
      <c r="O342" s="76"/>
    </row>
    <row r="343" spans="5:15" s="48" customFormat="1">
      <c r="E343" s="58"/>
      <c r="O343" s="76"/>
    </row>
    <row r="344" spans="5:15" s="48" customFormat="1">
      <c r="E344" s="58"/>
      <c r="O344" s="76"/>
    </row>
    <row r="345" spans="5:15" s="48" customFormat="1">
      <c r="E345" s="58"/>
      <c r="O345" s="76"/>
    </row>
    <row r="346" spans="5:15" s="48" customFormat="1">
      <c r="E346" s="58"/>
      <c r="O346" s="76"/>
    </row>
    <row r="347" spans="5:15" s="48" customFormat="1">
      <c r="E347" s="58"/>
      <c r="O347" s="76"/>
    </row>
    <row r="348" spans="5:15" s="48" customFormat="1">
      <c r="E348" s="58"/>
      <c r="O348" s="76"/>
    </row>
    <row r="349" spans="5:15" s="48" customFormat="1">
      <c r="E349" s="58"/>
      <c r="O349" s="76"/>
    </row>
    <row r="350" spans="5:15" s="48" customFormat="1">
      <c r="E350" s="58"/>
      <c r="O350" s="76"/>
    </row>
    <row r="351" spans="5:15" s="48" customFormat="1">
      <c r="E351" s="58"/>
      <c r="O351" s="76"/>
    </row>
    <row r="352" spans="5:15" s="48" customFormat="1">
      <c r="E352" s="58"/>
      <c r="O352" s="76"/>
    </row>
    <row r="353" spans="5:15" s="48" customFormat="1">
      <c r="E353" s="58"/>
      <c r="O353" s="76"/>
    </row>
    <row r="354" spans="5:15" s="48" customFormat="1">
      <c r="E354" s="58"/>
      <c r="O354" s="76"/>
    </row>
    <row r="355" spans="5:15" s="48" customFormat="1">
      <c r="E355" s="58"/>
      <c r="O355" s="76"/>
    </row>
    <row r="356" spans="5:15" s="48" customFormat="1">
      <c r="E356" s="58"/>
      <c r="O356" s="76"/>
    </row>
    <row r="357" spans="5:15" s="48" customFormat="1">
      <c r="E357" s="58"/>
      <c r="O357" s="76"/>
    </row>
    <row r="358" spans="5:15" s="48" customFormat="1">
      <c r="E358" s="58"/>
      <c r="O358" s="76"/>
    </row>
    <row r="359" spans="5:15" s="48" customFormat="1">
      <c r="E359" s="58"/>
      <c r="O359" s="76"/>
    </row>
    <row r="360" spans="5:15" s="48" customFormat="1">
      <c r="E360" s="58"/>
      <c r="O360" s="76"/>
    </row>
    <row r="361" spans="5:15" s="48" customFormat="1">
      <c r="E361" s="58"/>
      <c r="O361" s="76"/>
    </row>
    <row r="362" spans="5:15" s="48" customFormat="1">
      <c r="E362" s="58"/>
      <c r="O362" s="76"/>
    </row>
    <row r="363" spans="5:15" s="48" customFormat="1">
      <c r="E363" s="58"/>
      <c r="O363" s="76"/>
    </row>
    <row r="364" spans="5:15" s="48" customFormat="1">
      <c r="E364" s="58"/>
      <c r="O364" s="76"/>
    </row>
    <row r="365" spans="5:15" s="48" customFormat="1">
      <c r="E365" s="58"/>
      <c r="O365" s="76"/>
    </row>
    <row r="366" spans="5:15" s="48" customFormat="1">
      <c r="E366" s="58"/>
      <c r="O366" s="76"/>
    </row>
    <row r="367" spans="5:15" s="48" customFormat="1">
      <c r="E367" s="58"/>
      <c r="O367" s="76"/>
    </row>
    <row r="368" spans="5:15" s="48" customFormat="1">
      <c r="E368" s="58"/>
      <c r="O368" s="76"/>
    </row>
    <row r="369" spans="5:15" s="48" customFormat="1">
      <c r="E369" s="58"/>
      <c r="O369" s="76"/>
    </row>
    <row r="370" spans="5:15" s="48" customFormat="1">
      <c r="E370" s="58"/>
      <c r="O370" s="76"/>
    </row>
    <row r="371" spans="5:15" s="48" customFormat="1">
      <c r="E371" s="58"/>
      <c r="O371" s="76"/>
    </row>
    <row r="372" spans="5:15" s="48" customFormat="1">
      <c r="E372" s="58"/>
      <c r="O372" s="76"/>
    </row>
    <row r="373" spans="5:15" s="48" customFormat="1">
      <c r="E373" s="58"/>
      <c r="O373" s="76"/>
    </row>
    <row r="374" spans="5:15" s="48" customFormat="1">
      <c r="E374" s="58"/>
      <c r="O374" s="76"/>
    </row>
    <row r="375" spans="5:15" s="48" customFormat="1">
      <c r="E375" s="58"/>
      <c r="O375" s="76"/>
    </row>
    <row r="376" spans="5:15" s="48" customFormat="1">
      <c r="E376" s="58"/>
      <c r="O376" s="76"/>
    </row>
    <row r="377" spans="5:15" s="48" customFormat="1">
      <c r="E377" s="58"/>
      <c r="O377" s="76"/>
    </row>
    <row r="378" spans="5:15" s="48" customFormat="1">
      <c r="E378" s="58"/>
      <c r="O378" s="76"/>
    </row>
    <row r="379" spans="5:15" s="48" customFormat="1">
      <c r="E379" s="58"/>
      <c r="O379" s="76"/>
    </row>
    <row r="380" spans="5:15" s="48" customFormat="1">
      <c r="E380" s="58"/>
      <c r="O380" s="76"/>
    </row>
    <row r="381" spans="5:15" s="48" customFormat="1">
      <c r="E381" s="58"/>
      <c r="O381" s="76"/>
    </row>
    <row r="382" spans="5:15" s="48" customFormat="1">
      <c r="E382" s="58"/>
      <c r="O382" s="76"/>
    </row>
    <row r="383" spans="5:15" s="48" customFormat="1">
      <c r="E383" s="58"/>
      <c r="O383" s="76"/>
    </row>
    <row r="384" spans="5:15" s="48" customFormat="1">
      <c r="E384" s="58"/>
      <c r="O384" s="76"/>
    </row>
    <row r="385" spans="5:15" s="48" customFormat="1">
      <c r="E385" s="58"/>
      <c r="O385" s="76"/>
    </row>
    <row r="386" spans="5:15" s="48" customFormat="1">
      <c r="E386" s="58"/>
      <c r="O386" s="76"/>
    </row>
    <row r="387" spans="5:15" s="48" customFormat="1">
      <c r="E387" s="58"/>
      <c r="O387" s="76"/>
    </row>
    <row r="388" spans="5:15" s="48" customFormat="1">
      <c r="E388" s="58"/>
      <c r="O388" s="76"/>
    </row>
    <row r="389" spans="5:15" s="48" customFormat="1">
      <c r="E389" s="58"/>
      <c r="O389" s="76"/>
    </row>
    <row r="390" spans="5:15" s="48" customFormat="1">
      <c r="E390" s="58"/>
      <c r="O390" s="76"/>
    </row>
    <row r="391" spans="5:15" s="48" customFormat="1">
      <c r="E391" s="58"/>
      <c r="O391" s="76"/>
    </row>
    <row r="392" spans="5:15" s="48" customFormat="1">
      <c r="E392" s="58"/>
      <c r="O392" s="76"/>
    </row>
    <row r="393" spans="5:15" s="48" customFormat="1">
      <c r="E393" s="58"/>
      <c r="O393" s="76"/>
    </row>
    <row r="394" spans="5:15" s="48" customFormat="1">
      <c r="E394" s="58"/>
      <c r="O394" s="76"/>
    </row>
    <row r="395" spans="5:15" s="48" customFormat="1">
      <c r="E395" s="58"/>
      <c r="O395" s="76"/>
    </row>
    <row r="396" spans="5:15" s="48" customFormat="1">
      <c r="E396" s="58"/>
      <c r="O396" s="76"/>
    </row>
    <row r="397" spans="5:15" s="48" customFormat="1">
      <c r="E397" s="58"/>
      <c r="O397" s="76"/>
    </row>
    <row r="398" spans="5:15" s="48" customFormat="1">
      <c r="E398" s="58"/>
      <c r="O398" s="76"/>
    </row>
    <row r="399" spans="5:15" s="48" customFormat="1">
      <c r="E399" s="58"/>
      <c r="O399" s="76"/>
    </row>
    <row r="400" spans="5:15" s="48" customFormat="1">
      <c r="E400" s="58"/>
      <c r="O400" s="76"/>
    </row>
    <row r="401" spans="5:15" s="48" customFormat="1">
      <c r="E401" s="58"/>
      <c r="O401" s="76"/>
    </row>
    <row r="402" spans="5:15" s="48" customFormat="1">
      <c r="E402" s="58"/>
      <c r="O402" s="76"/>
    </row>
    <row r="403" spans="5:15" s="48" customFormat="1">
      <c r="E403" s="58"/>
      <c r="O403" s="76"/>
    </row>
    <row r="404" spans="5:15" s="48" customFormat="1">
      <c r="E404" s="58"/>
      <c r="O404" s="76"/>
    </row>
    <row r="405" spans="5:15" s="48" customFormat="1">
      <c r="E405" s="58"/>
      <c r="O405" s="76"/>
    </row>
    <row r="406" spans="5:15" s="48" customFormat="1">
      <c r="E406" s="58"/>
      <c r="O406" s="76"/>
    </row>
    <row r="407" spans="5:15" s="48" customFormat="1">
      <c r="E407" s="58"/>
      <c r="O407" s="76"/>
    </row>
    <row r="408" spans="5:15" s="48" customFormat="1">
      <c r="E408" s="58"/>
      <c r="O408" s="76"/>
    </row>
    <row r="409" spans="5:15" s="48" customFormat="1">
      <c r="E409" s="58"/>
      <c r="O409" s="76"/>
    </row>
    <row r="410" spans="5:15" s="48" customFormat="1">
      <c r="E410" s="58"/>
      <c r="O410" s="76"/>
    </row>
    <row r="411" spans="5:15" s="48" customFormat="1">
      <c r="E411" s="58"/>
      <c r="O411" s="76"/>
    </row>
    <row r="412" spans="5:15" s="48" customFormat="1">
      <c r="E412" s="58"/>
      <c r="O412" s="76"/>
    </row>
    <row r="413" spans="5:15" s="48" customFormat="1">
      <c r="E413" s="58"/>
      <c r="O413" s="76"/>
    </row>
    <row r="414" spans="5:15" s="48" customFormat="1">
      <c r="E414" s="58"/>
      <c r="O414" s="76"/>
    </row>
    <row r="415" spans="5:15" s="48" customFormat="1">
      <c r="E415" s="58"/>
      <c r="O415" s="76"/>
    </row>
    <row r="416" spans="5:15" s="48" customFormat="1">
      <c r="E416" s="58"/>
      <c r="O416" s="76"/>
    </row>
    <row r="417" spans="5:15" s="48" customFormat="1">
      <c r="E417" s="58"/>
      <c r="O417" s="76"/>
    </row>
    <row r="418" spans="5:15" s="48" customFormat="1">
      <c r="E418" s="58"/>
      <c r="O418" s="76"/>
    </row>
    <row r="419" spans="5:15" s="48" customFormat="1">
      <c r="E419" s="58"/>
      <c r="O419" s="76"/>
    </row>
    <row r="420" spans="5:15" s="48" customFormat="1">
      <c r="E420" s="58"/>
      <c r="O420" s="76"/>
    </row>
    <row r="421" spans="5:15" s="48" customFormat="1">
      <c r="E421" s="58"/>
      <c r="O421" s="76"/>
    </row>
    <row r="422" spans="5:15" s="48" customFormat="1">
      <c r="E422" s="58"/>
      <c r="O422" s="76"/>
    </row>
    <row r="423" spans="5:15" s="48" customFormat="1">
      <c r="E423" s="58"/>
      <c r="O423" s="76"/>
    </row>
    <row r="424" spans="5:15" s="48" customFormat="1">
      <c r="E424" s="58"/>
      <c r="O424" s="76"/>
    </row>
    <row r="425" spans="5:15" s="48" customFormat="1">
      <c r="E425" s="58"/>
      <c r="O425" s="76"/>
    </row>
    <row r="426" spans="5:15" s="48" customFormat="1">
      <c r="E426" s="58"/>
      <c r="O426" s="76"/>
    </row>
    <row r="427" spans="5:15" s="48" customFormat="1">
      <c r="E427" s="58"/>
      <c r="O427" s="76"/>
    </row>
    <row r="428" spans="5:15" s="48" customFormat="1">
      <c r="E428" s="58"/>
      <c r="O428" s="76"/>
    </row>
    <row r="429" spans="5:15" s="48" customFormat="1">
      <c r="E429" s="58"/>
      <c r="O429" s="76"/>
    </row>
    <row r="430" spans="5:15" s="48" customFormat="1">
      <c r="E430" s="58"/>
      <c r="O430" s="76"/>
    </row>
    <row r="431" spans="5:15" s="48" customFormat="1">
      <c r="E431" s="58"/>
      <c r="O431" s="76"/>
    </row>
    <row r="432" spans="5:15" s="48" customFormat="1">
      <c r="E432" s="58"/>
      <c r="O432" s="76"/>
    </row>
    <row r="433" spans="5:15" s="48" customFormat="1">
      <c r="E433" s="58"/>
      <c r="O433" s="76"/>
    </row>
    <row r="434" spans="5:15" s="48" customFormat="1">
      <c r="E434" s="58"/>
      <c r="O434" s="76"/>
    </row>
    <row r="435" spans="5:15" s="48" customFormat="1">
      <c r="E435" s="58"/>
      <c r="O435" s="76"/>
    </row>
    <row r="436" spans="5:15" s="48" customFormat="1">
      <c r="E436" s="58"/>
      <c r="O436" s="76"/>
    </row>
    <row r="437" spans="5:15" s="48" customFormat="1">
      <c r="E437" s="58"/>
      <c r="O437" s="76"/>
    </row>
    <row r="438" spans="5:15" s="48" customFormat="1">
      <c r="E438" s="58"/>
      <c r="O438" s="76"/>
    </row>
    <row r="439" spans="5:15" s="48" customFormat="1">
      <c r="E439" s="58"/>
      <c r="O439" s="76"/>
    </row>
    <row r="440" spans="5:15" s="48" customFormat="1">
      <c r="E440" s="58"/>
      <c r="O440" s="76"/>
    </row>
    <row r="441" spans="5:15" s="48" customFormat="1">
      <c r="E441" s="58"/>
      <c r="O441" s="76"/>
    </row>
    <row r="442" spans="5:15" s="48" customFormat="1">
      <c r="E442" s="58"/>
      <c r="O442" s="76"/>
    </row>
    <row r="443" spans="5:15" s="48" customFormat="1">
      <c r="E443" s="58"/>
      <c r="O443" s="76"/>
    </row>
    <row r="444" spans="5:15" s="48" customFormat="1">
      <c r="E444" s="58"/>
      <c r="O444" s="76"/>
    </row>
    <row r="445" spans="5:15" s="48" customFormat="1">
      <c r="E445" s="58"/>
      <c r="O445" s="76"/>
    </row>
    <row r="446" spans="5:15" s="48" customFormat="1">
      <c r="E446" s="58"/>
      <c r="O446" s="76"/>
    </row>
    <row r="447" spans="5:15" s="48" customFormat="1">
      <c r="E447" s="58"/>
      <c r="O447" s="76"/>
    </row>
    <row r="448" spans="5:15" s="48" customFormat="1">
      <c r="E448" s="58"/>
      <c r="O448" s="76"/>
    </row>
    <row r="449" spans="5:15" s="48" customFormat="1">
      <c r="E449" s="58"/>
      <c r="O449" s="76"/>
    </row>
    <row r="450" spans="5:15" s="48" customFormat="1">
      <c r="E450" s="58"/>
      <c r="O450" s="76"/>
    </row>
    <row r="451" spans="5:15" s="48" customFormat="1">
      <c r="E451" s="58"/>
      <c r="O451" s="76"/>
    </row>
    <row r="452" spans="5:15" s="48" customFormat="1">
      <c r="E452" s="58"/>
      <c r="O452" s="76"/>
    </row>
    <row r="453" spans="5:15" s="48" customFormat="1">
      <c r="E453" s="58"/>
      <c r="O453" s="76"/>
    </row>
    <row r="454" spans="5:15" s="48" customFormat="1">
      <c r="E454" s="58"/>
      <c r="O454" s="76"/>
    </row>
    <row r="455" spans="5:15" s="48" customFormat="1">
      <c r="E455" s="58"/>
      <c r="O455" s="76"/>
    </row>
    <row r="456" spans="5:15" s="48" customFormat="1">
      <c r="E456" s="58"/>
      <c r="O456" s="76"/>
    </row>
    <row r="457" spans="5:15" s="48" customFormat="1">
      <c r="E457" s="58"/>
      <c r="O457" s="76"/>
    </row>
    <row r="458" spans="5:15" s="48" customFormat="1">
      <c r="E458" s="58"/>
      <c r="O458" s="76"/>
    </row>
    <row r="459" spans="5:15" s="48" customFormat="1">
      <c r="E459" s="58"/>
      <c r="O459" s="76"/>
    </row>
    <row r="460" spans="5:15" s="48" customFormat="1">
      <c r="E460" s="58"/>
      <c r="O460" s="76"/>
    </row>
    <row r="461" spans="5:15" s="48" customFormat="1">
      <c r="E461" s="58"/>
      <c r="O461" s="76"/>
    </row>
    <row r="462" spans="5:15" s="48" customFormat="1">
      <c r="E462" s="58"/>
      <c r="O462" s="76"/>
    </row>
    <row r="463" spans="5:15" s="48" customFormat="1">
      <c r="E463" s="58"/>
      <c r="O463" s="76"/>
    </row>
    <row r="464" spans="5:15" s="48" customFormat="1">
      <c r="E464" s="58"/>
      <c r="O464" s="76"/>
    </row>
    <row r="465" spans="5:15" s="48" customFormat="1">
      <c r="E465" s="58"/>
      <c r="O465" s="76"/>
    </row>
    <row r="466" spans="5:15" s="48" customFormat="1">
      <c r="E466" s="58"/>
      <c r="O466" s="76"/>
    </row>
    <row r="467" spans="5:15" s="48" customFormat="1">
      <c r="E467" s="58"/>
      <c r="O467" s="76"/>
    </row>
    <row r="468" spans="5:15" s="48" customFormat="1">
      <c r="E468" s="58"/>
      <c r="O468" s="76"/>
    </row>
    <row r="469" spans="5:15" s="48" customFormat="1">
      <c r="E469" s="58"/>
      <c r="O469" s="76"/>
    </row>
    <row r="470" spans="5:15" s="48" customFormat="1">
      <c r="E470" s="58"/>
      <c r="O470" s="76"/>
    </row>
    <row r="471" spans="5:15" s="48" customFormat="1">
      <c r="E471" s="58"/>
      <c r="O471" s="76"/>
    </row>
    <row r="472" spans="5:15" s="48" customFormat="1">
      <c r="E472" s="58"/>
      <c r="O472" s="76"/>
    </row>
    <row r="473" spans="5:15" s="48" customFormat="1">
      <c r="E473" s="58"/>
      <c r="O473" s="76"/>
    </row>
    <row r="474" spans="5:15" s="48" customFormat="1">
      <c r="E474" s="58"/>
      <c r="O474" s="76"/>
    </row>
    <row r="475" spans="5:15" s="48" customFormat="1">
      <c r="E475" s="58"/>
      <c r="O475" s="76"/>
    </row>
    <row r="476" spans="5:15" s="48" customFormat="1">
      <c r="E476" s="58"/>
      <c r="O476" s="76"/>
    </row>
    <row r="477" spans="5:15" s="48" customFormat="1">
      <c r="E477" s="58"/>
      <c r="O477" s="76"/>
    </row>
    <row r="478" spans="5:15" s="48" customFormat="1">
      <c r="E478" s="58"/>
      <c r="O478" s="76"/>
    </row>
    <row r="479" spans="5:15" s="48" customFormat="1">
      <c r="E479" s="58"/>
      <c r="O479" s="76"/>
    </row>
    <row r="480" spans="5:15" s="48" customFormat="1">
      <c r="E480" s="58"/>
      <c r="O480" s="76"/>
    </row>
    <row r="481" spans="5:15" s="48" customFormat="1">
      <c r="E481" s="58"/>
      <c r="O481" s="76"/>
    </row>
    <row r="482" spans="5:15" s="48" customFormat="1">
      <c r="E482" s="58"/>
      <c r="O482" s="76"/>
    </row>
    <row r="483" spans="5:15" s="48" customFormat="1">
      <c r="E483" s="58"/>
      <c r="O483" s="76"/>
    </row>
    <row r="484" spans="5:15" s="48" customFormat="1">
      <c r="E484" s="58"/>
      <c r="O484" s="76"/>
    </row>
    <row r="485" spans="5:15" s="48" customFormat="1">
      <c r="E485" s="58"/>
      <c r="O485" s="76"/>
    </row>
    <row r="486" spans="5:15" s="48" customFormat="1">
      <c r="E486" s="58"/>
      <c r="O486" s="76"/>
    </row>
    <row r="487" spans="5:15" s="48" customFormat="1">
      <c r="E487" s="58"/>
      <c r="O487" s="76"/>
    </row>
    <row r="488" spans="5:15" s="48" customFormat="1">
      <c r="E488" s="58"/>
      <c r="O488" s="76"/>
    </row>
    <row r="489" spans="5:15" s="48" customFormat="1">
      <c r="E489" s="58"/>
      <c r="O489" s="76"/>
    </row>
    <row r="490" spans="5:15" s="48" customFormat="1">
      <c r="E490" s="58"/>
      <c r="O490" s="76"/>
    </row>
    <row r="491" spans="5:15" s="48" customFormat="1">
      <c r="E491" s="58"/>
      <c r="O491" s="76"/>
    </row>
    <row r="492" spans="5:15" s="48" customFormat="1">
      <c r="E492" s="58"/>
      <c r="O492" s="76"/>
    </row>
    <row r="493" spans="5:15" s="48" customFormat="1">
      <c r="E493" s="58"/>
      <c r="O493" s="76"/>
    </row>
    <row r="494" spans="5:15" s="48" customFormat="1">
      <c r="E494" s="58"/>
      <c r="O494" s="76"/>
    </row>
    <row r="495" spans="5:15" s="48" customFormat="1">
      <c r="E495" s="58"/>
      <c r="O495" s="76"/>
    </row>
    <row r="496" spans="5:15" s="48" customFormat="1">
      <c r="E496" s="58"/>
      <c r="O496" s="76"/>
    </row>
    <row r="497" spans="5:15" s="48" customFormat="1">
      <c r="E497" s="58"/>
      <c r="O497" s="76"/>
    </row>
    <row r="498" spans="5:15" s="48" customFormat="1">
      <c r="E498" s="58"/>
      <c r="O498" s="76"/>
    </row>
    <row r="499" spans="5:15" s="48" customFormat="1">
      <c r="E499" s="58"/>
      <c r="O499" s="76"/>
    </row>
    <row r="500" spans="5:15" s="48" customFormat="1">
      <c r="E500" s="58"/>
      <c r="O500" s="76"/>
    </row>
    <row r="501" spans="5:15" s="48" customFormat="1">
      <c r="E501" s="58"/>
      <c r="O501" s="76"/>
    </row>
    <row r="502" spans="5:15" s="48" customFormat="1">
      <c r="E502" s="58"/>
      <c r="O502" s="76"/>
    </row>
    <row r="503" spans="5:15" s="48" customFormat="1">
      <c r="E503" s="58"/>
      <c r="O503" s="76"/>
    </row>
    <row r="504" spans="5:15" s="48" customFormat="1">
      <c r="E504" s="58"/>
      <c r="O504" s="76"/>
    </row>
    <row r="505" spans="5:15" s="48" customFormat="1">
      <c r="E505" s="58"/>
      <c r="O505" s="76"/>
    </row>
    <row r="506" spans="5:15" s="48" customFormat="1">
      <c r="E506" s="58"/>
      <c r="O506" s="76"/>
    </row>
    <row r="507" spans="5:15" s="48" customFormat="1">
      <c r="E507" s="58"/>
      <c r="O507" s="76"/>
    </row>
    <row r="508" spans="5:15" s="48" customFormat="1">
      <c r="E508" s="58"/>
      <c r="O508" s="76"/>
    </row>
    <row r="509" spans="5:15" s="48" customFormat="1">
      <c r="E509" s="58"/>
      <c r="O509" s="76"/>
    </row>
    <row r="510" spans="5:15" s="48" customFormat="1">
      <c r="E510" s="58"/>
      <c r="O510" s="76"/>
    </row>
    <row r="511" spans="5:15" s="48" customFormat="1">
      <c r="E511" s="58"/>
      <c r="O511" s="76"/>
    </row>
    <row r="512" spans="5:15" s="48" customFormat="1">
      <c r="E512" s="58"/>
      <c r="O512" s="76"/>
    </row>
    <row r="513" spans="5:15" s="48" customFormat="1">
      <c r="E513" s="58"/>
      <c r="O513" s="76"/>
    </row>
    <row r="514" spans="5:15" s="48" customFormat="1">
      <c r="E514" s="58"/>
      <c r="O514" s="76"/>
    </row>
    <row r="515" spans="5:15" s="48" customFormat="1">
      <c r="E515" s="58"/>
      <c r="O515" s="76"/>
    </row>
    <row r="516" spans="5:15" s="48" customFormat="1">
      <c r="E516" s="58"/>
      <c r="O516" s="76"/>
    </row>
    <row r="517" spans="5:15" s="48" customFormat="1">
      <c r="E517" s="58"/>
      <c r="O517" s="76"/>
    </row>
    <row r="518" spans="5:15" s="48" customFormat="1">
      <c r="E518" s="58"/>
      <c r="O518" s="76"/>
    </row>
    <row r="519" spans="5:15" s="48" customFormat="1">
      <c r="E519" s="58"/>
      <c r="O519" s="76"/>
    </row>
    <row r="520" spans="5:15" s="48" customFormat="1">
      <c r="E520" s="58"/>
      <c r="O520" s="76"/>
    </row>
    <row r="521" spans="5:15" s="48" customFormat="1">
      <c r="E521" s="58"/>
      <c r="O521" s="76"/>
    </row>
    <row r="522" spans="5:15" s="48" customFormat="1">
      <c r="E522" s="58"/>
      <c r="O522" s="76"/>
    </row>
    <row r="523" spans="5:15" s="48" customFormat="1">
      <c r="E523" s="58"/>
      <c r="O523" s="76"/>
    </row>
    <row r="524" spans="5:15" s="48" customFormat="1">
      <c r="E524" s="58"/>
      <c r="O524" s="76"/>
    </row>
    <row r="525" spans="5:15" s="48" customFormat="1">
      <c r="E525" s="58"/>
      <c r="O525" s="76"/>
    </row>
    <row r="526" spans="5:15" s="48" customFormat="1">
      <c r="E526" s="58"/>
      <c r="O526" s="76"/>
    </row>
    <row r="527" spans="5:15" s="48" customFormat="1">
      <c r="E527" s="58"/>
      <c r="O527" s="76"/>
    </row>
    <row r="528" spans="5:15" s="48" customFormat="1">
      <c r="E528" s="58"/>
      <c r="O528" s="76"/>
    </row>
    <row r="529" spans="5:15" s="48" customFormat="1">
      <c r="E529" s="58"/>
      <c r="O529" s="76"/>
    </row>
    <row r="530" spans="5:15" s="48" customFormat="1">
      <c r="E530" s="58"/>
      <c r="O530" s="76"/>
    </row>
    <row r="531" spans="5:15" s="48" customFormat="1">
      <c r="E531" s="58"/>
      <c r="O531" s="76"/>
    </row>
    <row r="532" spans="5:15" s="48" customFormat="1">
      <c r="E532" s="58"/>
      <c r="O532" s="76"/>
    </row>
    <row r="533" spans="5:15" s="48" customFormat="1">
      <c r="E533" s="58"/>
      <c r="O533" s="76"/>
    </row>
    <row r="534" spans="5:15" s="48" customFormat="1">
      <c r="E534" s="58"/>
      <c r="O534" s="76"/>
    </row>
    <row r="535" spans="5:15" s="48" customFormat="1">
      <c r="E535" s="58"/>
      <c r="O535" s="76"/>
    </row>
    <row r="536" spans="5:15" s="48" customFormat="1">
      <c r="E536" s="58"/>
      <c r="O536" s="76"/>
    </row>
    <row r="537" spans="5:15" s="48" customFormat="1">
      <c r="E537" s="58"/>
      <c r="O537" s="76"/>
    </row>
    <row r="538" spans="5:15" s="48" customFormat="1">
      <c r="E538" s="58"/>
      <c r="O538" s="76"/>
    </row>
    <row r="539" spans="5:15" s="48" customFormat="1">
      <c r="E539" s="58"/>
      <c r="O539" s="76"/>
    </row>
    <row r="540" spans="5:15" s="48" customFormat="1">
      <c r="E540" s="58"/>
      <c r="O540" s="76"/>
    </row>
    <row r="541" spans="5:15" s="48" customFormat="1">
      <c r="E541" s="58"/>
      <c r="O541" s="76"/>
    </row>
    <row r="542" spans="5:15" s="48" customFormat="1">
      <c r="E542" s="58"/>
      <c r="O542" s="76"/>
    </row>
    <row r="543" spans="5:15" s="48" customFormat="1">
      <c r="E543" s="58"/>
      <c r="O543" s="76"/>
    </row>
    <row r="544" spans="5:15" s="48" customFormat="1">
      <c r="E544" s="58"/>
      <c r="O544" s="76"/>
    </row>
    <row r="545" spans="5:15" s="48" customFormat="1">
      <c r="E545" s="58"/>
      <c r="O545" s="76"/>
    </row>
    <row r="546" spans="5:15" s="48" customFormat="1">
      <c r="E546" s="58"/>
      <c r="O546" s="76"/>
    </row>
    <row r="547" spans="5:15" s="48" customFormat="1">
      <c r="E547" s="58"/>
      <c r="O547" s="76"/>
    </row>
    <row r="548" spans="5:15" s="48" customFormat="1">
      <c r="E548" s="58"/>
      <c r="O548" s="76"/>
    </row>
    <row r="549" spans="5:15" s="48" customFormat="1">
      <c r="E549" s="58"/>
      <c r="O549" s="76"/>
    </row>
    <row r="550" spans="5:15" s="48" customFormat="1">
      <c r="E550" s="58"/>
      <c r="O550" s="76"/>
    </row>
    <row r="551" spans="5:15" s="48" customFormat="1">
      <c r="E551" s="58"/>
      <c r="O551" s="76"/>
    </row>
    <row r="552" spans="5:15" s="48" customFormat="1">
      <c r="E552" s="58"/>
      <c r="O552" s="76"/>
    </row>
    <row r="553" spans="5:15" s="48" customFormat="1">
      <c r="E553" s="58"/>
      <c r="O553" s="76"/>
    </row>
    <row r="554" spans="5:15" s="48" customFormat="1">
      <c r="E554" s="58"/>
      <c r="O554" s="76"/>
    </row>
    <row r="555" spans="5:15" s="48" customFormat="1">
      <c r="E555" s="58"/>
      <c r="O555" s="76"/>
    </row>
    <row r="556" spans="5:15" s="48" customFormat="1">
      <c r="E556" s="58"/>
      <c r="O556" s="76"/>
    </row>
    <row r="557" spans="5:15" s="48" customFormat="1">
      <c r="E557" s="58"/>
      <c r="O557" s="76"/>
    </row>
    <row r="558" spans="5:15" s="48" customFormat="1">
      <c r="E558" s="58"/>
      <c r="O558" s="76"/>
    </row>
    <row r="559" spans="5:15" s="48" customFormat="1">
      <c r="E559" s="58"/>
      <c r="O559" s="76"/>
    </row>
    <row r="560" spans="5:15" s="48" customFormat="1">
      <c r="E560" s="58"/>
      <c r="O560" s="76"/>
    </row>
    <row r="561" spans="5:15" s="48" customFormat="1">
      <c r="E561" s="58"/>
      <c r="O561" s="76"/>
    </row>
    <row r="562" spans="5:15" s="48" customFormat="1">
      <c r="E562" s="58"/>
      <c r="O562" s="76"/>
    </row>
    <row r="563" spans="5:15" s="48" customFormat="1">
      <c r="E563" s="58"/>
      <c r="O563" s="76"/>
    </row>
    <row r="564" spans="5:15" s="48" customFormat="1">
      <c r="E564" s="58"/>
      <c r="O564" s="76"/>
    </row>
    <row r="565" spans="5:15" s="48" customFormat="1">
      <c r="E565" s="58"/>
      <c r="O565" s="76"/>
    </row>
    <row r="566" spans="5:15" s="48" customFormat="1">
      <c r="E566" s="58"/>
      <c r="O566" s="76"/>
    </row>
    <row r="567" spans="5:15" s="48" customFormat="1">
      <c r="E567" s="58"/>
      <c r="O567" s="76"/>
    </row>
    <row r="568" spans="5:15" s="48" customFormat="1">
      <c r="E568" s="58"/>
      <c r="O568" s="76"/>
    </row>
    <row r="569" spans="5:15" s="48" customFormat="1">
      <c r="E569" s="58"/>
      <c r="O569" s="76"/>
    </row>
    <row r="570" spans="5:15" s="48" customFormat="1">
      <c r="E570" s="58"/>
      <c r="O570" s="76"/>
    </row>
    <row r="571" spans="5:15" s="48" customFormat="1">
      <c r="E571" s="58"/>
      <c r="O571" s="76"/>
    </row>
    <row r="572" spans="5:15" s="48" customFormat="1">
      <c r="E572" s="58"/>
      <c r="O572" s="76"/>
    </row>
    <row r="573" spans="5:15" s="48" customFormat="1">
      <c r="E573" s="58"/>
      <c r="O573" s="76"/>
    </row>
    <row r="574" spans="5:15" s="48" customFormat="1">
      <c r="E574" s="58"/>
      <c r="O574" s="76"/>
    </row>
    <row r="575" spans="5:15" s="48" customFormat="1">
      <c r="E575" s="58"/>
      <c r="O575" s="76"/>
    </row>
    <row r="576" spans="5:15" s="48" customFormat="1">
      <c r="E576" s="58"/>
      <c r="O576" s="76"/>
    </row>
    <row r="577" spans="5:15" s="48" customFormat="1">
      <c r="E577" s="58"/>
      <c r="O577" s="76"/>
    </row>
    <row r="578" spans="5:15" s="48" customFormat="1">
      <c r="E578" s="58"/>
      <c r="O578" s="76"/>
    </row>
    <row r="579" spans="5:15" s="48" customFormat="1">
      <c r="E579" s="58"/>
      <c r="O579" s="76"/>
    </row>
    <row r="580" spans="5:15" s="48" customFormat="1">
      <c r="E580" s="58"/>
      <c r="O580" s="76"/>
    </row>
    <row r="581" spans="5:15" s="48" customFormat="1">
      <c r="E581" s="58"/>
      <c r="O581" s="76"/>
    </row>
    <row r="582" spans="5:15" s="48" customFormat="1">
      <c r="E582" s="58"/>
      <c r="O582" s="76"/>
    </row>
    <row r="583" spans="5:15" s="48" customFormat="1">
      <c r="E583" s="58"/>
      <c r="O583" s="76"/>
    </row>
    <row r="584" spans="5:15" s="48" customFormat="1">
      <c r="E584" s="58"/>
      <c r="O584" s="76"/>
    </row>
    <row r="585" spans="5:15" s="48" customFormat="1">
      <c r="E585" s="58"/>
      <c r="O585" s="76"/>
    </row>
    <row r="586" spans="5:15" s="48" customFormat="1">
      <c r="E586" s="58"/>
      <c r="O586" s="76"/>
    </row>
    <row r="587" spans="5:15" s="48" customFormat="1">
      <c r="E587" s="58"/>
      <c r="O587" s="76"/>
    </row>
    <row r="588" spans="5:15" s="48" customFormat="1">
      <c r="E588" s="58"/>
      <c r="O588" s="76"/>
    </row>
    <row r="589" spans="5:15" s="48" customFormat="1">
      <c r="E589" s="58"/>
      <c r="O589" s="76"/>
    </row>
    <row r="590" spans="5:15" s="48" customFormat="1">
      <c r="E590" s="58"/>
      <c r="O590" s="76"/>
    </row>
    <row r="591" spans="5:15" s="48" customFormat="1">
      <c r="E591" s="58"/>
      <c r="O591" s="76"/>
    </row>
    <row r="592" spans="5:15" s="48" customFormat="1">
      <c r="E592" s="58"/>
      <c r="O592" s="76"/>
    </row>
    <row r="593" spans="5:15" s="48" customFormat="1">
      <c r="E593" s="58"/>
      <c r="O593" s="76"/>
    </row>
    <row r="594" spans="5:15" s="48" customFormat="1">
      <c r="E594" s="58"/>
      <c r="O594" s="76"/>
    </row>
    <row r="595" spans="5:15" s="48" customFormat="1">
      <c r="E595" s="58"/>
      <c r="O595" s="76"/>
    </row>
    <row r="596" spans="5:15" s="48" customFormat="1">
      <c r="E596" s="58"/>
      <c r="O596" s="76"/>
    </row>
    <row r="597" spans="5:15" s="48" customFormat="1">
      <c r="E597" s="58"/>
      <c r="O597" s="76"/>
    </row>
    <row r="598" spans="5:15" s="48" customFormat="1">
      <c r="E598" s="58"/>
      <c r="O598" s="76"/>
    </row>
    <row r="599" spans="5:15" s="48" customFormat="1">
      <c r="E599" s="58"/>
      <c r="O599" s="76"/>
    </row>
    <row r="600" spans="5:15" s="48" customFormat="1">
      <c r="E600" s="58"/>
      <c r="O600" s="76"/>
    </row>
    <row r="601" spans="5:15" s="48" customFormat="1">
      <c r="E601" s="58"/>
      <c r="O601" s="76"/>
    </row>
    <row r="602" spans="5:15" s="48" customFormat="1">
      <c r="E602" s="58"/>
      <c r="O602" s="76"/>
    </row>
    <row r="603" spans="5:15" s="48" customFormat="1">
      <c r="E603" s="58"/>
      <c r="O603" s="76"/>
    </row>
    <row r="604" spans="5:15" s="48" customFormat="1">
      <c r="E604" s="58"/>
      <c r="O604" s="76"/>
    </row>
    <row r="605" spans="5:15" s="48" customFormat="1">
      <c r="E605" s="58"/>
      <c r="O605" s="76"/>
    </row>
    <row r="606" spans="5:15" s="48" customFormat="1">
      <c r="E606" s="58"/>
      <c r="O606" s="76"/>
    </row>
    <row r="607" spans="5:15" s="48" customFormat="1">
      <c r="E607" s="58"/>
      <c r="O607" s="76"/>
    </row>
    <row r="608" spans="5:15" s="48" customFormat="1">
      <c r="E608" s="58"/>
      <c r="O608" s="76"/>
    </row>
    <row r="609" spans="5:15" s="48" customFormat="1">
      <c r="E609" s="58"/>
      <c r="O609" s="76"/>
    </row>
    <row r="610" spans="5:15" s="48" customFormat="1">
      <c r="E610" s="58"/>
      <c r="O610" s="76"/>
    </row>
    <row r="611" spans="5:15" s="48" customFormat="1">
      <c r="E611" s="58"/>
      <c r="O611" s="76"/>
    </row>
    <row r="612" spans="5:15" s="48" customFormat="1">
      <c r="E612" s="58"/>
      <c r="O612" s="76"/>
    </row>
    <row r="613" spans="5:15" s="48" customFormat="1">
      <c r="E613" s="58"/>
      <c r="O613" s="76"/>
    </row>
    <row r="614" spans="5:15" s="48" customFormat="1">
      <c r="E614" s="58"/>
      <c r="O614" s="76"/>
    </row>
    <row r="615" spans="5:15" s="48" customFormat="1">
      <c r="E615" s="58"/>
      <c r="O615" s="76"/>
    </row>
    <row r="616" spans="5:15" s="48" customFormat="1">
      <c r="E616" s="58"/>
      <c r="O616" s="76"/>
    </row>
    <row r="617" spans="5:15" s="48" customFormat="1">
      <c r="E617" s="58"/>
      <c r="O617" s="76"/>
    </row>
    <row r="618" spans="5:15" s="48" customFormat="1">
      <c r="E618" s="58"/>
      <c r="O618" s="76"/>
    </row>
    <row r="619" spans="5:15" s="48" customFormat="1">
      <c r="E619" s="58"/>
      <c r="O619" s="76"/>
    </row>
    <row r="620" spans="5:15" s="48" customFormat="1">
      <c r="E620" s="58"/>
      <c r="O620" s="76"/>
    </row>
    <row r="621" spans="5:15" s="48" customFormat="1">
      <c r="E621" s="58"/>
      <c r="O621" s="76"/>
    </row>
    <row r="622" spans="5:15" s="48" customFormat="1">
      <c r="E622" s="58"/>
      <c r="O622" s="76"/>
    </row>
    <row r="623" spans="5:15" s="48" customFormat="1">
      <c r="E623" s="58"/>
      <c r="O623" s="76"/>
    </row>
    <row r="624" spans="5:15" s="48" customFormat="1">
      <c r="E624" s="58"/>
      <c r="O624" s="76"/>
    </row>
    <row r="625" spans="5:15" s="48" customFormat="1">
      <c r="E625" s="58"/>
      <c r="O625" s="76"/>
    </row>
    <row r="626" spans="5:15" s="48" customFormat="1">
      <c r="E626" s="58"/>
      <c r="O626" s="76"/>
    </row>
    <row r="627" spans="5:15" s="48" customFormat="1">
      <c r="E627" s="58"/>
      <c r="O627" s="76"/>
    </row>
    <row r="628" spans="5:15" s="48" customFormat="1">
      <c r="E628" s="58"/>
      <c r="O628" s="76"/>
    </row>
    <row r="629" spans="5:15" s="48" customFormat="1">
      <c r="E629" s="58"/>
      <c r="O629" s="76"/>
    </row>
    <row r="630" spans="5:15" s="48" customFormat="1">
      <c r="E630" s="58"/>
      <c r="O630" s="76"/>
    </row>
    <row r="631" spans="5:15" s="48" customFormat="1">
      <c r="E631" s="58"/>
      <c r="O631" s="76"/>
    </row>
    <row r="632" spans="5:15" s="48" customFormat="1">
      <c r="E632" s="58"/>
      <c r="O632" s="76"/>
    </row>
    <row r="633" spans="5:15" s="48" customFormat="1">
      <c r="E633" s="58"/>
      <c r="O633" s="76"/>
    </row>
    <row r="634" spans="5:15" s="48" customFormat="1">
      <c r="E634" s="58"/>
      <c r="O634" s="76"/>
    </row>
    <row r="635" spans="5:15" s="48" customFormat="1">
      <c r="E635" s="58"/>
      <c r="O635" s="76"/>
    </row>
    <row r="636" spans="5:15" s="48" customFormat="1">
      <c r="E636" s="58"/>
      <c r="O636" s="76"/>
    </row>
    <row r="637" spans="5:15" s="48" customFormat="1">
      <c r="E637" s="58"/>
      <c r="O637" s="76"/>
    </row>
    <row r="638" spans="5:15" s="48" customFormat="1">
      <c r="E638" s="58"/>
      <c r="O638" s="76"/>
    </row>
    <row r="639" spans="5:15" s="48" customFormat="1">
      <c r="E639" s="58"/>
      <c r="O639" s="76"/>
    </row>
    <row r="640" spans="5:15" s="48" customFormat="1">
      <c r="E640" s="58"/>
      <c r="O640" s="76"/>
    </row>
    <row r="641" spans="5:15" s="48" customFormat="1">
      <c r="E641" s="58"/>
      <c r="O641" s="76"/>
    </row>
    <row r="642" spans="5:15" s="48" customFormat="1">
      <c r="E642" s="58"/>
      <c r="O642" s="76"/>
    </row>
    <row r="643" spans="5:15" s="48" customFormat="1">
      <c r="E643" s="58"/>
      <c r="O643" s="76"/>
    </row>
    <row r="644" spans="5:15" s="48" customFormat="1">
      <c r="E644" s="58"/>
      <c r="O644" s="76"/>
    </row>
    <row r="645" spans="5:15" s="48" customFormat="1">
      <c r="E645" s="58"/>
      <c r="O645" s="76"/>
    </row>
    <row r="646" spans="5:15" s="48" customFormat="1">
      <c r="E646" s="58"/>
      <c r="O646" s="76"/>
    </row>
    <row r="647" spans="5:15" s="48" customFormat="1">
      <c r="E647" s="58"/>
      <c r="O647" s="76"/>
    </row>
    <row r="648" spans="5:15" s="48" customFormat="1">
      <c r="E648" s="58"/>
      <c r="O648" s="76"/>
    </row>
    <row r="649" spans="5:15" s="48" customFormat="1">
      <c r="E649" s="58"/>
      <c r="O649" s="76"/>
    </row>
    <row r="650" spans="5:15" s="48" customFormat="1">
      <c r="E650" s="58"/>
      <c r="O650" s="76"/>
    </row>
    <row r="651" spans="5:15" s="48" customFormat="1">
      <c r="E651" s="58"/>
      <c r="O651" s="76"/>
    </row>
    <row r="652" spans="5:15" s="48" customFormat="1">
      <c r="E652" s="58"/>
      <c r="O652" s="76"/>
    </row>
    <row r="653" spans="5:15" s="48" customFormat="1">
      <c r="E653" s="58"/>
      <c r="O653" s="76"/>
    </row>
    <row r="654" spans="5:15" s="48" customFormat="1">
      <c r="E654" s="58"/>
      <c r="O654" s="76"/>
    </row>
    <row r="655" spans="5:15" s="48" customFormat="1">
      <c r="E655" s="58"/>
      <c r="O655" s="76"/>
    </row>
    <row r="656" spans="5:15" s="48" customFormat="1">
      <c r="E656" s="58"/>
      <c r="O656" s="76"/>
    </row>
    <row r="657" spans="5:15" s="48" customFormat="1">
      <c r="E657" s="58"/>
      <c r="O657" s="76"/>
    </row>
    <row r="658" spans="5:15" s="48" customFormat="1">
      <c r="E658" s="58"/>
      <c r="O658" s="76"/>
    </row>
    <row r="659" spans="5:15" s="48" customFormat="1">
      <c r="E659" s="58"/>
      <c r="O659" s="76"/>
    </row>
    <row r="660" spans="5:15" s="48" customFormat="1">
      <c r="E660" s="58"/>
      <c r="O660" s="76"/>
    </row>
    <row r="661" spans="5:15" s="48" customFormat="1">
      <c r="E661" s="58"/>
      <c r="O661" s="76"/>
    </row>
    <row r="662" spans="5:15" s="48" customFormat="1">
      <c r="E662" s="58"/>
      <c r="O662" s="76"/>
    </row>
    <row r="663" spans="5:15" s="48" customFormat="1">
      <c r="E663" s="58"/>
      <c r="O663" s="76"/>
    </row>
    <row r="664" spans="5:15" s="48" customFormat="1">
      <c r="E664" s="58"/>
      <c r="O664" s="76"/>
    </row>
    <row r="665" spans="5:15" s="48" customFormat="1">
      <c r="E665" s="58"/>
      <c r="O665" s="76"/>
    </row>
    <row r="666" spans="5:15" s="48" customFormat="1">
      <c r="E666" s="58"/>
      <c r="O666" s="76"/>
    </row>
    <row r="667" spans="5:15" s="48" customFormat="1">
      <c r="E667" s="58"/>
      <c r="O667" s="76"/>
    </row>
    <row r="668" spans="5:15" s="48" customFormat="1">
      <c r="E668" s="58"/>
      <c r="O668" s="76"/>
    </row>
    <row r="669" spans="5:15" s="48" customFormat="1">
      <c r="E669" s="58"/>
      <c r="O669" s="76"/>
    </row>
    <row r="670" spans="5:15" s="48" customFormat="1">
      <c r="E670" s="58"/>
      <c r="O670" s="76"/>
    </row>
    <row r="671" spans="5:15" s="48" customFormat="1">
      <c r="E671" s="58"/>
      <c r="O671" s="76"/>
    </row>
    <row r="672" spans="5:15" s="48" customFormat="1">
      <c r="E672" s="58"/>
      <c r="O672" s="76"/>
    </row>
    <row r="673" spans="5:15" s="48" customFormat="1">
      <c r="E673" s="58"/>
      <c r="O673" s="76"/>
    </row>
    <row r="674" spans="5:15" s="48" customFormat="1">
      <c r="E674" s="58"/>
      <c r="O674" s="76"/>
    </row>
    <row r="675" spans="5:15" s="48" customFormat="1">
      <c r="E675" s="58"/>
      <c r="O675" s="76"/>
    </row>
    <row r="676" spans="5:15" s="48" customFormat="1">
      <c r="E676" s="58"/>
      <c r="O676" s="76"/>
    </row>
    <row r="677" spans="5:15" s="48" customFormat="1">
      <c r="E677" s="58"/>
      <c r="O677" s="76"/>
    </row>
    <row r="678" spans="5:15" s="48" customFormat="1">
      <c r="E678" s="58"/>
      <c r="O678" s="76"/>
    </row>
    <row r="679" spans="5:15" s="48" customFormat="1">
      <c r="E679" s="58"/>
      <c r="O679" s="76"/>
    </row>
    <row r="680" spans="5:15" s="48" customFormat="1">
      <c r="E680" s="58"/>
      <c r="O680" s="76"/>
    </row>
    <row r="681" spans="5:15" s="48" customFormat="1">
      <c r="E681" s="58"/>
      <c r="O681" s="76"/>
    </row>
    <row r="682" spans="5:15" s="48" customFormat="1">
      <c r="E682" s="58"/>
      <c r="O682" s="76"/>
    </row>
    <row r="683" spans="5:15" s="48" customFormat="1">
      <c r="E683" s="58"/>
      <c r="O683" s="76"/>
    </row>
    <row r="684" spans="5:15" s="48" customFormat="1">
      <c r="E684" s="58"/>
      <c r="O684" s="76"/>
    </row>
    <row r="685" spans="5:15" s="48" customFormat="1">
      <c r="E685" s="58"/>
      <c r="O685" s="76"/>
    </row>
    <row r="686" spans="5:15" s="48" customFormat="1">
      <c r="E686" s="58"/>
      <c r="O686" s="76"/>
    </row>
    <row r="687" spans="5:15" s="48" customFormat="1">
      <c r="E687" s="58"/>
      <c r="O687" s="76"/>
    </row>
    <row r="688" spans="5:15" s="48" customFormat="1">
      <c r="E688" s="58"/>
      <c r="O688" s="76"/>
    </row>
    <row r="689" spans="5:15" s="48" customFormat="1">
      <c r="E689" s="58"/>
      <c r="O689" s="76"/>
    </row>
    <row r="690" spans="5:15" s="48" customFormat="1">
      <c r="E690" s="58"/>
      <c r="O690" s="76"/>
    </row>
    <row r="691" spans="5:15" s="48" customFormat="1">
      <c r="E691" s="58"/>
      <c r="O691" s="76"/>
    </row>
    <row r="692" spans="5:15" s="48" customFormat="1">
      <c r="E692" s="58"/>
      <c r="O692" s="76"/>
    </row>
    <row r="693" spans="5:15" s="48" customFormat="1">
      <c r="E693" s="58"/>
      <c r="O693" s="76"/>
    </row>
    <row r="694" spans="5:15" s="48" customFormat="1">
      <c r="E694" s="58"/>
      <c r="O694" s="76"/>
    </row>
    <row r="695" spans="5:15" s="48" customFormat="1">
      <c r="E695" s="58"/>
      <c r="O695" s="76"/>
    </row>
    <row r="696" spans="5:15" s="48" customFormat="1">
      <c r="E696" s="58"/>
      <c r="O696" s="76"/>
    </row>
    <row r="697" spans="5:15" s="48" customFormat="1">
      <c r="E697" s="58"/>
      <c r="O697" s="76"/>
    </row>
    <row r="698" spans="5:15" s="48" customFormat="1">
      <c r="E698" s="58"/>
      <c r="O698" s="76"/>
    </row>
    <row r="699" spans="5:15" s="48" customFormat="1">
      <c r="E699" s="58"/>
      <c r="O699" s="76"/>
    </row>
    <row r="700" spans="5:15" s="48" customFormat="1">
      <c r="E700" s="58"/>
      <c r="O700" s="76"/>
    </row>
    <row r="701" spans="5:15" s="48" customFormat="1">
      <c r="E701" s="58"/>
      <c r="O701" s="76"/>
    </row>
    <row r="702" spans="5:15" s="48" customFormat="1">
      <c r="E702" s="58"/>
      <c r="O702" s="76"/>
    </row>
    <row r="703" spans="5:15" s="48" customFormat="1">
      <c r="E703" s="58"/>
      <c r="O703" s="76"/>
    </row>
    <row r="704" spans="5:15" s="48" customFormat="1">
      <c r="E704" s="58"/>
      <c r="O704" s="76"/>
    </row>
    <row r="705" spans="5:15" s="48" customFormat="1">
      <c r="E705" s="58"/>
      <c r="O705" s="76"/>
    </row>
    <row r="706" spans="5:15" s="48" customFormat="1">
      <c r="E706" s="58"/>
      <c r="O706" s="76"/>
    </row>
    <row r="707" spans="5:15" s="48" customFormat="1">
      <c r="E707" s="58"/>
      <c r="O707" s="76"/>
    </row>
    <row r="708" spans="5:15" s="48" customFormat="1">
      <c r="E708" s="58"/>
      <c r="O708" s="76"/>
    </row>
    <row r="709" spans="5:15" s="48" customFormat="1">
      <c r="E709" s="58"/>
      <c r="O709" s="76"/>
    </row>
    <row r="710" spans="5:15" s="48" customFormat="1">
      <c r="E710" s="58"/>
      <c r="O710" s="76"/>
    </row>
    <row r="711" spans="5:15" s="48" customFormat="1">
      <c r="E711" s="58"/>
      <c r="O711" s="76"/>
    </row>
    <row r="712" spans="5:15" s="48" customFormat="1">
      <c r="E712" s="58"/>
      <c r="O712" s="76"/>
    </row>
    <row r="713" spans="5:15" s="48" customFormat="1">
      <c r="E713" s="58"/>
      <c r="O713" s="76"/>
    </row>
    <row r="714" spans="5:15" s="48" customFormat="1">
      <c r="E714" s="58"/>
      <c r="O714" s="76"/>
    </row>
    <row r="715" spans="5:15" s="48" customFormat="1">
      <c r="E715" s="58"/>
      <c r="O715" s="76"/>
    </row>
    <row r="716" spans="5:15" s="48" customFormat="1">
      <c r="E716" s="58"/>
      <c r="O716" s="76"/>
    </row>
    <row r="717" spans="5:15" s="48" customFormat="1">
      <c r="E717" s="58"/>
      <c r="O717" s="76"/>
    </row>
    <row r="718" spans="5:15" s="48" customFormat="1">
      <c r="E718" s="58"/>
      <c r="O718" s="76"/>
    </row>
    <row r="719" spans="5:15" s="48" customFormat="1">
      <c r="E719" s="58"/>
      <c r="O719" s="76"/>
    </row>
    <row r="720" spans="5:15" s="48" customFormat="1">
      <c r="E720" s="58"/>
      <c r="O720" s="76"/>
    </row>
    <row r="721" spans="5:15" s="48" customFormat="1">
      <c r="E721" s="58"/>
      <c r="O721" s="76"/>
    </row>
    <row r="722" spans="5:15" s="48" customFormat="1">
      <c r="E722" s="58"/>
      <c r="O722" s="76"/>
    </row>
    <row r="723" spans="5:15" s="48" customFormat="1">
      <c r="E723" s="58"/>
      <c r="O723" s="76"/>
    </row>
    <row r="724" spans="5:15" s="48" customFormat="1">
      <c r="E724" s="58"/>
      <c r="O724" s="76"/>
    </row>
    <row r="725" spans="5:15" s="48" customFormat="1">
      <c r="E725" s="58"/>
      <c r="O725" s="76"/>
    </row>
    <row r="726" spans="5:15" s="48" customFormat="1">
      <c r="E726" s="58"/>
      <c r="O726" s="76"/>
    </row>
    <row r="727" spans="5:15" s="48" customFormat="1">
      <c r="E727" s="58"/>
      <c r="O727" s="76"/>
    </row>
    <row r="728" spans="5:15" s="48" customFormat="1">
      <c r="E728" s="58"/>
      <c r="O728" s="76"/>
    </row>
    <row r="729" spans="5:15" s="48" customFormat="1">
      <c r="E729" s="58"/>
      <c r="O729" s="76"/>
    </row>
    <row r="730" spans="5:15" s="48" customFormat="1">
      <c r="E730" s="58"/>
      <c r="O730" s="76"/>
    </row>
    <row r="731" spans="5:15" s="48" customFormat="1">
      <c r="E731" s="58"/>
      <c r="O731" s="76"/>
    </row>
    <row r="732" spans="5:15" s="48" customFormat="1">
      <c r="E732" s="58"/>
      <c r="O732" s="76"/>
    </row>
    <row r="733" spans="5:15" s="48" customFormat="1">
      <c r="E733" s="58"/>
      <c r="O733" s="76"/>
    </row>
    <row r="734" spans="5:15" s="48" customFormat="1">
      <c r="E734" s="58"/>
      <c r="O734" s="76"/>
    </row>
    <row r="735" spans="5:15" s="48" customFormat="1">
      <c r="E735" s="58"/>
      <c r="O735" s="76"/>
    </row>
    <row r="736" spans="5:15" s="48" customFormat="1">
      <c r="E736" s="58"/>
      <c r="O736" s="76"/>
    </row>
    <row r="737" spans="5:15" s="48" customFormat="1">
      <c r="E737" s="58"/>
      <c r="O737" s="76"/>
    </row>
    <row r="738" spans="5:15" s="48" customFormat="1">
      <c r="E738" s="58"/>
      <c r="O738" s="76"/>
    </row>
    <row r="739" spans="5:15" s="48" customFormat="1">
      <c r="E739" s="58"/>
      <c r="O739" s="76"/>
    </row>
    <row r="740" spans="5:15" s="48" customFormat="1">
      <c r="E740" s="58"/>
      <c r="O740" s="76"/>
    </row>
    <row r="741" spans="5:15" s="48" customFormat="1">
      <c r="E741" s="58"/>
      <c r="O741" s="76"/>
    </row>
    <row r="742" spans="5:15" s="48" customFormat="1">
      <c r="E742" s="58"/>
      <c r="O742" s="76"/>
    </row>
    <row r="743" spans="5:15" s="48" customFormat="1">
      <c r="E743" s="58"/>
      <c r="O743" s="76"/>
    </row>
    <row r="744" spans="5:15" s="48" customFormat="1">
      <c r="E744" s="58"/>
      <c r="O744" s="76"/>
    </row>
    <row r="745" spans="5:15" s="48" customFormat="1">
      <c r="E745" s="58"/>
      <c r="O745" s="76"/>
    </row>
    <row r="746" spans="5:15" s="48" customFormat="1">
      <c r="E746" s="58"/>
      <c r="O746" s="76"/>
    </row>
  </sheetData>
  <pageMargins left="0.7" right="0.7" top="0.78740157499999996" bottom="0.78740157499999996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E10" sqref="E10"/>
    </sheetView>
  </sheetViews>
  <sheetFormatPr baseColWidth="10" defaultRowHeight="14" x14ac:dyDescent="0"/>
  <cols>
    <col min="15" max="19" width="7.6640625" customWidth="1"/>
  </cols>
  <sheetData>
    <row r="1" spans="1:20">
      <c r="A1" s="47" t="s">
        <v>133</v>
      </c>
      <c r="D1" s="9" t="s">
        <v>136</v>
      </c>
      <c r="E1" s="9" t="s">
        <v>137</v>
      </c>
      <c r="F1">
        <v>2050</v>
      </c>
      <c r="H1">
        <v>2090</v>
      </c>
    </row>
    <row r="2" spans="1:20">
      <c r="D2" s="9" t="s">
        <v>138</v>
      </c>
      <c r="E2" s="9" t="s">
        <v>138</v>
      </c>
      <c r="F2" s="92" t="s">
        <v>156</v>
      </c>
      <c r="I2">
        <v>2085</v>
      </c>
    </row>
    <row r="3" spans="1:20">
      <c r="A3" t="s">
        <v>247</v>
      </c>
      <c r="D3" s="9"/>
      <c r="E3" s="9"/>
      <c r="F3" s="92"/>
    </row>
    <row r="4" spans="1:20">
      <c r="D4" s="9"/>
      <c r="E4" s="9"/>
      <c r="F4" s="92"/>
    </row>
    <row r="5" spans="1:20">
      <c r="C5" s="9" t="s">
        <v>140</v>
      </c>
      <c r="D5" s="91">
        <f>S11</f>
        <v>140</v>
      </c>
      <c r="E5" s="84">
        <f>S14</f>
        <v>107</v>
      </c>
      <c r="G5" s="84">
        <f>S15</f>
        <v>142</v>
      </c>
      <c r="I5" s="84">
        <f>E5-18</f>
        <v>89</v>
      </c>
    </row>
    <row r="6" spans="1:20">
      <c r="D6" s="9"/>
      <c r="E6" s="9"/>
      <c r="F6" s="92"/>
    </row>
    <row r="7" spans="1:20">
      <c r="C7" s="9" t="s">
        <v>141</v>
      </c>
      <c r="D7" s="91">
        <v>7.7</v>
      </c>
      <c r="E7" s="91">
        <v>8.1999999999999993</v>
      </c>
      <c r="F7" s="89">
        <v>0.33500000000000002</v>
      </c>
      <c r="G7" s="91">
        <f>E7*(1+F7)</f>
        <v>10.946999999999999</v>
      </c>
      <c r="H7" s="88">
        <v>0.5</v>
      </c>
      <c r="I7" s="91">
        <f>E7*(1+H7)</f>
        <v>12.299999999999999</v>
      </c>
      <c r="J7" s="91"/>
      <c r="O7" t="s">
        <v>146</v>
      </c>
      <c r="Q7" t="s">
        <v>148</v>
      </c>
      <c r="S7" t="s">
        <v>150</v>
      </c>
    </row>
    <row r="8" spans="1:20">
      <c r="C8" s="9" t="s">
        <v>110</v>
      </c>
      <c r="D8" s="91">
        <v>2.4</v>
      </c>
      <c r="E8" s="91">
        <v>7.3</v>
      </c>
      <c r="F8" s="90">
        <v>0.32500000000000001</v>
      </c>
      <c r="G8" s="91">
        <f>E8*(1+F8)</f>
        <v>9.6724999999999994</v>
      </c>
      <c r="H8" s="88">
        <v>0.5</v>
      </c>
      <c r="I8" s="91">
        <f>G8*(1+H8)</f>
        <v>14.508749999999999</v>
      </c>
      <c r="J8" s="91"/>
      <c r="O8" t="s">
        <v>147</v>
      </c>
      <c r="Q8" t="s">
        <v>149</v>
      </c>
    </row>
    <row r="9" spans="1:20">
      <c r="C9" s="9" t="s">
        <v>134</v>
      </c>
      <c r="D9" s="91">
        <v>0.08</v>
      </c>
      <c r="E9" s="91">
        <v>0.24</v>
      </c>
      <c r="F9" s="90">
        <v>0.14499999999999999</v>
      </c>
      <c r="G9" s="91">
        <f>E9*(1+F9)</f>
        <v>0.27479999999999999</v>
      </c>
      <c r="H9" s="88">
        <v>0.25</v>
      </c>
      <c r="I9" s="91">
        <f>G9*(1+H9)</f>
        <v>0.34349999999999997</v>
      </c>
      <c r="J9" s="91"/>
    </row>
    <row r="10" spans="1:20" ht="14.25" customHeight="1">
      <c r="C10" s="9" t="s">
        <v>135</v>
      </c>
      <c r="D10" s="91">
        <v>0.3</v>
      </c>
      <c r="E10" s="91">
        <v>0.45</v>
      </c>
      <c r="F10" s="88">
        <v>0.6</v>
      </c>
      <c r="G10" s="91">
        <f>E10*(1+F10)</f>
        <v>0.72000000000000008</v>
      </c>
      <c r="H10" s="88">
        <v>1</v>
      </c>
      <c r="I10" s="91">
        <f>E10*(1+H10)</f>
        <v>0.9</v>
      </c>
      <c r="J10" s="91"/>
    </row>
    <row r="11" spans="1:20">
      <c r="C11" s="9"/>
      <c r="D11" s="91"/>
      <c r="E11" s="91"/>
      <c r="G11" s="91"/>
      <c r="I11" s="91"/>
      <c r="J11" s="91"/>
      <c r="N11" s="9" t="s">
        <v>151</v>
      </c>
      <c r="O11">
        <v>17</v>
      </c>
      <c r="Q11">
        <v>123</v>
      </c>
      <c r="S11">
        <f>O11+Q11</f>
        <v>140</v>
      </c>
    </row>
    <row r="12" spans="1:20">
      <c r="C12" s="9" t="s">
        <v>139</v>
      </c>
      <c r="D12" s="91">
        <f>SUM(D7:D10)</f>
        <v>10.48</v>
      </c>
      <c r="E12" s="91">
        <f>SUM(E7:E10)</f>
        <v>16.190000000000001</v>
      </c>
      <c r="G12" s="91">
        <f>SUM(G7:G10)</f>
        <v>21.614299999999997</v>
      </c>
      <c r="I12" s="91">
        <f>SUM(I7:I10)</f>
        <v>28.052249999999994</v>
      </c>
      <c r="J12" s="91"/>
      <c r="N12" s="9" t="s">
        <v>153</v>
      </c>
      <c r="O12">
        <v>16</v>
      </c>
      <c r="P12" s="88">
        <f>O12/O11</f>
        <v>0.94117647058823528</v>
      </c>
      <c r="Q12">
        <v>160</v>
      </c>
      <c r="R12" s="88">
        <f>Q12/Q11</f>
        <v>1.3008130081300813</v>
      </c>
      <c r="S12">
        <f t="shared" ref="S12:S15" si="0">O12+Q12</f>
        <v>176</v>
      </c>
    </row>
    <row r="13" spans="1:20">
      <c r="C13" s="9" t="s">
        <v>159</v>
      </c>
      <c r="D13" s="91"/>
      <c r="E13" s="91"/>
      <c r="G13" s="91"/>
      <c r="I13" s="91"/>
      <c r="J13" s="91"/>
      <c r="N13" s="9" t="s">
        <v>154</v>
      </c>
      <c r="O13">
        <v>16</v>
      </c>
      <c r="P13" s="88">
        <f>O13/O11</f>
        <v>0.94117647058823528</v>
      </c>
      <c r="Q13">
        <v>121</v>
      </c>
      <c r="R13" s="88">
        <f>Q13/Q11</f>
        <v>0.98373983739837401</v>
      </c>
      <c r="S13">
        <f t="shared" si="0"/>
        <v>137</v>
      </c>
    </row>
    <row r="14" spans="1:20">
      <c r="C14" s="9" t="s">
        <v>158</v>
      </c>
      <c r="D14" s="91">
        <f>D5-D12</f>
        <v>129.52000000000001</v>
      </c>
      <c r="E14" s="91">
        <f>E5-E12</f>
        <v>90.81</v>
      </c>
      <c r="G14" s="91">
        <f>G5-G12</f>
        <v>120.3857</v>
      </c>
      <c r="I14" s="91">
        <f>I5-I12</f>
        <v>60.947750000000006</v>
      </c>
      <c r="J14" s="91"/>
      <c r="N14" s="9" t="s">
        <v>157</v>
      </c>
      <c r="O14">
        <v>19</v>
      </c>
      <c r="P14" s="88">
        <f>O14/O11</f>
        <v>1.1176470588235294</v>
      </c>
      <c r="Q14">
        <v>88</v>
      </c>
      <c r="R14" s="88">
        <f>Q14/Q11</f>
        <v>0.71544715447154472</v>
      </c>
      <c r="S14">
        <f t="shared" si="0"/>
        <v>107</v>
      </c>
    </row>
    <row r="15" spans="1:20">
      <c r="C15" s="9"/>
      <c r="D15" s="91"/>
      <c r="E15" s="84"/>
      <c r="G15" s="84" t="s">
        <v>240</v>
      </c>
      <c r="N15" s="9" t="s">
        <v>155</v>
      </c>
      <c r="O15">
        <v>18</v>
      </c>
      <c r="P15" s="88">
        <f>O15/O11</f>
        <v>1.0588235294117647</v>
      </c>
      <c r="Q15">
        <v>124</v>
      </c>
      <c r="R15" s="88">
        <f>Q15/Q11</f>
        <v>1.0081300813008129</v>
      </c>
      <c r="S15">
        <f t="shared" si="0"/>
        <v>142</v>
      </c>
      <c r="T15" s="88">
        <f>S15/S11</f>
        <v>1.0142857142857142</v>
      </c>
    </row>
    <row r="16" spans="1:20">
      <c r="N16" s="9" t="s">
        <v>152</v>
      </c>
    </row>
    <row r="17" spans="1:18">
      <c r="N17" s="9"/>
    </row>
    <row r="18" spans="1:18">
      <c r="N18" s="9"/>
    </row>
    <row r="19" spans="1:18">
      <c r="A19" t="s">
        <v>142</v>
      </c>
      <c r="B19" t="s">
        <v>143</v>
      </c>
    </row>
    <row r="20" spans="1:18">
      <c r="B20" t="s">
        <v>144</v>
      </c>
    </row>
    <row r="21" spans="1:18">
      <c r="B21" t="s">
        <v>145</v>
      </c>
    </row>
    <row r="22" spans="1:18">
      <c r="B22" t="s">
        <v>161</v>
      </c>
    </row>
    <row r="26" spans="1:18">
      <c r="D26" s="9" t="s">
        <v>136</v>
      </c>
      <c r="E26" s="9" t="s">
        <v>137</v>
      </c>
      <c r="F26">
        <v>2050</v>
      </c>
      <c r="G26">
        <v>2085</v>
      </c>
      <c r="N26" t="s">
        <v>249</v>
      </c>
      <c r="Q26" t="s">
        <v>252</v>
      </c>
    </row>
    <row r="27" spans="1:18">
      <c r="D27" s="9" t="s">
        <v>138</v>
      </c>
      <c r="E27" s="9" t="s">
        <v>138</v>
      </c>
      <c r="N27" t="s">
        <v>250</v>
      </c>
      <c r="O27">
        <v>220</v>
      </c>
      <c r="P27" t="s">
        <v>251</v>
      </c>
      <c r="Q27">
        <f>(130+(4*4.4))</f>
        <v>147.6</v>
      </c>
      <c r="R27" t="s">
        <v>251</v>
      </c>
    </row>
    <row r="28" spans="1:18">
      <c r="C28" s="9" t="s">
        <v>140</v>
      </c>
      <c r="D28" s="91">
        <f>S11</f>
        <v>140</v>
      </c>
      <c r="E28" s="84">
        <f>S14</f>
        <v>107</v>
      </c>
      <c r="F28" s="84">
        <f>S38</f>
        <v>0</v>
      </c>
      <c r="G28" s="84">
        <f>E28-18</f>
        <v>89</v>
      </c>
      <c r="Q28" s="81">
        <f>Q27*60*60*24*30/1000</f>
        <v>382579.20000000001</v>
      </c>
      <c r="R28" t="s">
        <v>253</v>
      </c>
    </row>
    <row r="29" spans="1:18">
      <c r="C29" s="9" t="s">
        <v>141</v>
      </c>
      <c r="D29" s="91">
        <v>7.7</v>
      </c>
      <c r="E29" s="91">
        <v>8.1999999999999993</v>
      </c>
      <c r="F29" s="91">
        <f>G7</f>
        <v>10.946999999999999</v>
      </c>
      <c r="G29" s="91">
        <f>I7</f>
        <v>12.299999999999999</v>
      </c>
    </row>
    <row r="30" spans="1:18">
      <c r="C30" s="9" t="s">
        <v>110</v>
      </c>
      <c r="D30" s="91">
        <v>2.4</v>
      </c>
      <c r="E30" s="91">
        <v>7.3</v>
      </c>
      <c r="F30" s="91">
        <f t="shared" ref="F30:F32" si="1">G8</f>
        <v>9.6724999999999994</v>
      </c>
      <c r="G30" s="91">
        <f t="shared" ref="G30:G32" si="2">I8</f>
        <v>14.508749999999999</v>
      </c>
    </row>
    <row r="31" spans="1:18">
      <c r="C31" s="9" t="s">
        <v>134</v>
      </c>
      <c r="D31" s="91">
        <v>0.08</v>
      </c>
      <c r="E31" s="91">
        <v>0.24</v>
      </c>
      <c r="F31" s="91">
        <f t="shared" si="1"/>
        <v>0.27479999999999999</v>
      </c>
      <c r="G31" s="91">
        <f t="shared" si="2"/>
        <v>0.34349999999999997</v>
      </c>
    </row>
    <row r="32" spans="1:18">
      <c r="C32" s="9" t="s">
        <v>135</v>
      </c>
      <c r="D32" s="91">
        <v>0.3</v>
      </c>
      <c r="E32" s="91">
        <v>0.45</v>
      </c>
      <c r="F32" s="91">
        <f t="shared" si="1"/>
        <v>0.72000000000000008</v>
      </c>
      <c r="G32" s="91">
        <f t="shared" si="2"/>
        <v>0.9</v>
      </c>
    </row>
    <row r="33" spans="3:9">
      <c r="C33" s="9"/>
      <c r="D33" s="91"/>
      <c r="E33" s="91"/>
      <c r="G33" s="91"/>
    </row>
    <row r="34" spans="3:9">
      <c r="C34" s="9" t="s">
        <v>139</v>
      </c>
      <c r="D34" s="91">
        <f>SUM(D29:D32)</f>
        <v>10.48</v>
      </c>
      <c r="E34" s="91">
        <f>SUM(E29:E32)</f>
        <v>16.190000000000001</v>
      </c>
      <c r="G34" s="91">
        <f>SUM(F29:F32)</f>
        <v>21.614299999999997</v>
      </c>
      <c r="I34" s="91"/>
    </row>
    <row r="35" spans="3:9">
      <c r="C35" s="9" t="s">
        <v>159</v>
      </c>
      <c r="D35" s="91"/>
      <c r="E35" s="91"/>
      <c r="G35" s="91"/>
      <c r="I35" s="91">
        <f>SUM(G29:G32)</f>
        <v>28.052249999999994</v>
      </c>
    </row>
    <row r="36" spans="3:9">
      <c r="C36" s="9" t="s">
        <v>158</v>
      </c>
      <c r="D36" s="91">
        <f>D28-D34</f>
        <v>129.52000000000001</v>
      </c>
      <c r="E36" s="91">
        <f>E28-E34</f>
        <v>90.81</v>
      </c>
      <c r="G36" s="91">
        <f>F28-G34</f>
        <v>-21.614299999999997</v>
      </c>
      <c r="I36" s="91"/>
    </row>
    <row r="37" spans="3:9">
      <c r="I37" s="91">
        <f>G28-I35</f>
        <v>60.947750000000006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topLeftCell="P1" zoomScale="90" zoomScaleNormal="90" zoomScalePageLayoutView="90" workbookViewId="0">
      <selection activeCell="X10" sqref="X10:AI10"/>
    </sheetView>
  </sheetViews>
  <sheetFormatPr baseColWidth="10" defaultRowHeight="14" x14ac:dyDescent="0"/>
  <cols>
    <col min="1" max="1" width="14" customWidth="1"/>
    <col min="6" max="6" width="11.5" customWidth="1"/>
    <col min="12" max="12" width="13.6640625" customWidth="1"/>
    <col min="23" max="23" width="10.5" customWidth="1"/>
    <col min="24" max="35" width="7.5" customWidth="1"/>
    <col min="36" max="36" width="9.1640625" customWidth="1"/>
  </cols>
  <sheetData>
    <row r="1" spans="1:37" ht="20">
      <c r="A1" s="15" t="s">
        <v>32</v>
      </c>
      <c r="B1" s="13" t="s">
        <v>31</v>
      </c>
      <c r="D1" s="12"/>
      <c r="E1" s="12"/>
      <c r="F1" s="12"/>
      <c r="R1" s="16" t="s">
        <v>22</v>
      </c>
      <c r="S1" s="6"/>
      <c r="T1" s="6"/>
      <c r="U1" s="6"/>
      <c r="V1" s="6"/>
    </row>
    <row r="2" spans="1:37" ht="20">
      <c r="B2" s="14" t="s">
        <v>29</v>
      </c>
      <c r="D2" s="12"/>
      <c r="E2" s="12"/>
      <c r="F2" s="12"/>
      <c r="R2" s="6"/>
      <c r="S2" s="6"/>
      <c r="T2" s="6"/>
      <c r="U2" s="6"/>
      <c r="V2" s="6"/>
    </row>
    <row r="3" spans="1:37" ht="90.75" customHeight="1">
      <c r="B3" s="186" t="s">
        <v>16</v>
      </c>
      <c r="C3" s="186"/>
      <c r="D3" s="187" t="s">
        <v>17</v>
      </c>
      <c r="E3" s="187"/>
      <c r="F3" s="25" t="s">
        <v>33</v>
      </c>
      <c r="H3" s="25" t="s">
        <v>34</v>
      </c>
      <c r="J3" s="27" t="s">
        <v>36</v>
      </c>
      <c r="L3" s="27" t="s">
        <v>37</v>
      </c>
      <c r="N3" s="27" t="s">
        <v>35</v>
      </c>
      <c r="P3" s="23" t="s">
        <v>132</v>
      </c>
      <c r="R3" s="7" t="s">
        <v>19</v>
      </c>
      <c r="S3" s="7" t="s">
        <v>20</v>
      </c>
      <c r="T3" s="7"/>
      <c r="U3" s="7"/>
      <c r="V3" s="7"/>
    </row>
    <row r="4" spans="1:37">
      <c r="B4" s="2"/>
      <c r="C4" s="2"/>
      <c r="D4" s="3"/>
      <c r="E4" s="3"/>
      <c r="F4" s="26"/>
      <c r="G4" s="1"/>
      <c r="H4" s="26"/>
      <c r="I4" s="1"/>
      <c r="J4" s="26"/>
      <c r="K4" s="1"/>
      <c r="L4" s="26"/>
      <c r="M4" s="1"/>
      <c r="N4" s="26"/>
      <c r="O4" s="1"/>
      <c r="P4" s="1"/>
      <c r="Q4" s="1"/>
      <c r="R4" s="7"/>
      <c r="S4" s="7" t="s">
        <v>21</v>
      </c>
      <c r="T4" s="11" t="s">
        <v>30</v>
      </c>
      <c r="U4" s="7"/>
      <c r="V4" s="7"/>
    </row>
    <row r="5" spans="1:37" ht="28">
      <c r="A5" s="10" t="s">
        <v>23</v>
      </c>
      <c r="B5" s="4" t="s">
        <v>1</v>
      </c>
      <c r="C5" s="4" t="s">
        <v>2</v>
      </c>
      <c r="D5" s="4" t="s">
        <v>3</v>
      </c>
      <c r="E5" s="4" t="s">
        <v>4</v>
      </c>
      <c r="F5" s="2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/>
      <c r="Q5" s="4"/>
      <c r="R5" s="7" t="s">
        <v>23</v>
      </c>
      <c r="S5" s="8" t="s">
        <v>26</v>
      </c>
      <c r="T5" s="8" t="s">
        <v>28</v>
      </c>
      <c r="U5" s="8" t="s">
        <v>27</v>
      </c>
      <c r="V5" s="8" t="s">
        <v>25</v>
      </c>
    </row>
    <row r="6" spans="1:37">
      <c r="A6" s="10"/>
      <c r="B6" s="2" t="s">
        <v>0</v>
      </c>
      <c r="C6" s="2"/>
      <c r="D6" s="3" t="s">
        <v>0</v>
      </c>
      <c r="E6" s="3"/>
      <c r="F6" s="1" t="s">
        <v>0</v>
      </c>
      <c r="G6" s="1"/>
      <c r="H6" s="1" t="s">
        <v>0</v>
      </c>
      <c r="I6" s="1"/>
      <c r="J6" s="1" t="s">
        <v>0</v>
      </c>
      <c r="K6" s="1"/>
      <c r="L6" s="1" t="s">
        <v>0</v>
      </c>
      <c r="M6" s="1"/>
      <c r="N6" s="1" t="s">
        <v>0</v>
      </c>
      <c r="O6" s="1"/>
      <c r="P6" s="1"/>
      <c r="Q6" s="1"/>
      <c r="R6" s="7"/>
      <c r="S6" s="8"/>
      <c r="T6" s="8"/>
      <c r="U6" s="8"/>
      <c r="V6" s="8"/>
      <c r="X6">
        <v>1</v>
      </c>
      <c r="Y6">
        <v>2</v>
      </c>
      <c r="Z6">
        <v>3</v>
      </c>
      <c r="AA6">
        <v>4</v>
      </c>
      <c r="AB6">
        <v>5</v>
      </c>
      <c r="AC6">
        <v>6</v>
      </c>
      <c r="AD6">
        <v>7</v>
      </c>
      <c r="AE6">
        <v>8</v>
      </c>
      <c r="AF6">
        <v>9</v>
      </c>
      <c r="AG6">
        <v>10</v>
      </c>
      <c r="AH6">
        <v>11</v>
      </c>
      <c r="AI6">
        <v>12</v>
      </c>
      <c r="AJ6" t="s">
        <v>129</v>
      </c>
    </row>
    <row r="7" spans="1:37">
      <c r="A7">
        <v>1</v>
      </c>
      <c r="B7" s="17">
        <v>556619.81849648815</v>
      </c>
      <c r="C7" s="17">
        <v>365007.0582666666</v>
      </c>
      <c r="D7" s="18">
        <v>517464.6688619036</v>
      </c>
      <c r="E7" s="18">
        <v>385659.20407225011</v>
      </c>
      <c r="F7" s="19">
        <v>-257129.03521034657</v>
      </c>
      <c r="G7" s="19">
        <v>-388934.5</v>
      </c>
      <c r="H7" s="19">
        <v>-195141.78479575829</v>
      </c>
      <c r="I7" s="19">
        <v>-332148.25258541177</v>
      </c>
      <c r="J7" s="19">
        <v>-452897.50678890944</v>
      </c>
      <c r="K7" s="19">
        <v>-595777.85651776253</v>
      </c>
      <c r="L7" s="19">
        <v>-509872.37863559677</v>
      </c>
      <c r="M7" s="19">
        <v>-492616.71742525016</v>
      </c>
      <c r="N7" s="19">
        <v>-331380.00224810938</v>
      </c>
      <c r="O7" s="19">
        <v>-469657.84103776276</v>
      </c>
      <c r="P7" s="19"/>
      <c r="Q7" s="19"/>
      <c r="R7" s="20">
        <v>1</v>
      </c>
      <c r="S7" s="20">
        <v>1127702.2954401681</v>
      </c>
      <c r="T7" s="20">
        <v>836205.61227289913</v>
      </c>
      <c r="U7" s="20">
        <v>1067895</v>
      </c>
      <c r="V7" s="20">
        <v>912361.5</v>
      </c>
      <c r="W7" s="129" t="s">
        <v>275</v>
      </c>
      <c r="X7" s="130">
        <v>1.1279999999999999</v>
      </c>
      <c r="Y7" s="97">
        <v>0.751</v>
      </c>
      <c r="Z7" s="97">
        <v>0.82499999999999996</v>
      </c>
      <c r="AA7" s="97">
        <v>6.6040000000000001</v>
      </c>
      <c r="AB7" s="97">
        <v>6.0259999999999998</v>
      </c>
      <c r="AC7" s="97">
        <v>8.6129999999999995</v>
      </c>
      <c r="AD7" s="97">
        <v>6.266</v>
      </c>
      <c r="AE7" s="97">
        <v>2.23</v>
      </c>
      <c r="AF7" s="97">
        <v>2.6949999999999998</v>
      </c>
      <c r="AG7" s="97">
        <v>3.7</v>
      </c>
      <c r="AH7" s="97">
        <v>1.175</v>
      </c>
      <c r="AI7" s="97">
        <v>0.84099999999999997</v>
      </c>
      <c r="AJ7" s="97">
        <f>SUM(X7:AI7)</f>
        <v>40.853999999999999</v>
      </c>
    </row>
    <row r="8" spans="1:37">
      <c r="A8">
        <v>2</v>
      </c>
      <c r="B8" s="17">
        <v>168062.82676218869</v>
      </c>
      <c r="C8" s="17">
        <v>316556.45711149427</v>
      </c>
      <c r="D8" s="18">
        <v>548739.32164959749</v>
      </c>
      <c r="E8" s="18">
        <v>341811.66823558352</v>
      </c>
      <c r="F8" s="19">
        <v>-228497.44658598606</v>
      </c>
      <c r="G8" s="19">
        <v>-435425.1</v>
      </c>
      <c r="H8" s="19">
        <v>-165268.89888094421</v>
      </c>
      <c r="I8" s="19">
        <v>-378926.05091564788</v>
      </c>
      <c r="J8" s="19">
        <v>-421063.53841329541</v>
      </c>
      <c r="K8" s="19">
        <v>-642905.89872386085</v>
      </c>
      <c r="L8" s="19">
        <v>-517798.24577078281</v>
      </c>
      <c r="M8" s="19">
        <v>-493583.30539169314</v>
      </c>
      <c r="N8" s="19">
        <v>-301203.86938329542</v>
      </c>
      <c r="O8" s="19">
        <v>-516506.02900420572</v>
      </c>
      <c r="P8" s="19"/>
      <c r="Q8" s="19"/>
      <c r="R8" s="20">
        <v>2</v>
      </c>
      <c r="S8" s="20">
        <v>750575.71623668051</v>
      </c>
      <c r="T8" s="20">
        <v>647105.68714999163</v>
      </c>
      <c r="U8" s="20">
        <v>1105997</v>
      </c>
      <c r="V8" s="20">
        <v>866479.9</v>
      </c>
      <c r="W8" t="s">
        <v>91</v>
      </c>
      <c r="X8" s="97">
        <v>0.83599999999999997</v>
      </c>
      <c r="Y8" s="97">
        <v>0.64700000000000002</v>
      </c>
      <c r="Z8" s="97">
        <v>0.73099999999999998</v>
      </c>
      <c r="AA8" s="97">
        <v>4.577</v>
      </c>
      <c r="AB8" s="97">
        <v>13.087</v>
      </c>
      <c r="AC8" s="97">
        <v>14.026</v>
      </c>
      <c r="AD8" s="97">
        <v>13.262</v>
      </c>
      <c r="AE8" s="97">
        <v>7.0720000000000001</v>
      </c>
      <c r="AF8" s="97">
        <v>3.1040000000000001</v>
      </c>
      <c r="AG8" s="97">
        <v>2.7</v>
      </c>
      <c r="AH8" s="97">
        <v>2.3290000000000002</v>
      </c>
      <c r="AI8" s="97">
        <v>1.294</v>
      </c>
      <c r="AJ8" s="97">
        <f t="shared" ref="AJ8:AJ9" si="0">SUM(X8:AI8)</f>
        <v>63.664999999999999</v>
      </c>
    </row>
    <row r="9" spans="1:37">
      <c r="A9">
        <v>3</v>
      </c>
      <c r="B9" s="17">
        <v>265769.35382767348</v>
      </c>
      <c r="C9" s="17">
        <v>353901.34795666672</v>
      </c>
      <c r="D9" s="18">
        <v>387602.2585606986</v>
      </c>
      <c r="E9" s="18">
        <v>344409.01795666665</v>
      </c>
      <c r="F9" s="19">
        <v>-265098.15939596808</v>
      </c>
      <c r="G9" s="19">
        <v>-308291.40000000002</v>
      </c>
      <c r="H9" s="19">
        <v>-199212.87295304518</v>
      </c>
      <c r="I9" s="19">
        <v>-248215.84341474378</v>
      </c>
      <c r="J9" s="19">
        <v>-499690.86743304518</v>
      </c>
      <c r="K9" s="19">
        <v>-555760.31514541036</v>
      </c>
      <c r="L9" s="19">
        <v>-538486.63534304523</v>
      </c>
      <c r="M9" s="19">
        <v>-503226.87842507701</v>
      </c>
      <c r="N9" s="19">
        <v>-382414.13534304523</v>
      </c>
      <c r="O9" s="19">
        <v>-432837.27842507703</v>
      </c>
      <c r="P9" s="19"/>
      <c r="Q9" s="19"/>
      <c r="R9" s="20">
        <v>3</v>
      </c>
      <c r="S9" s="20">
        <v>824747.26526697481</v>
      </c>
      <c r="T9" s="20">
        <v>730919.84919431084</v>
      </c>
      <c r="U9" s="20">
        <v>956072.5</v>
      </c>
      <c r="V9" s="20">
        <v>870389.6</v>
      </c>
      <c r="W9" t="s">
        <v>273</v>
      </c>
      <c r="X9" s="97">
        <v>1.0680000000000001</v>
      </c>
      <c r="Y9" s="97">
        <v>1.1060000000000001</v>
      </c>
      <c r="Z9" s="97">
        <v>0.95599999999999996</v>
      </c>
      <c r="AA9" s="97">
        <v>6.2069999999999999</v>
      </c>
      <c r="AB9" s="97">
        <v>6.125</v>
      </c>
      <c r="AC9" s="97">
        <v>9.3680000000000003</v>
      </c>
      <c r="AD9" s="97">
        <v>5.734</v>
      </c>
      <c r="AE9" s="97">
        <v>1.998</v>
      </c>
      <c r="AF9" s="97">
        <v>3.0259999999999998</v>
      </c>
      <c r="AG9" s="97">
        <v>4.718</v>
      </c>
      <c r="AH9" s="97">
        <v>0.98699999999999999</v>
      </c>
      <c r="AI9" s="97">
        <v>0.74099999999999999</v>
      </c>
      <c r="AJ9" s="97">
        <f t="shared" si="0"/>
        <v>42.033999999999999</v>
      </c>
    </row>
    <row r="10" spans="1:37">
      <c r="A10">
        <v>4</v>
      </c>
      <c r="B10" s="17">
        <v>5654088.4666159367</v>
      </c>
      <c r="C10" s="17">
        <v>3579253.5107883047</v>
      </c>
      <c r="D10" s="18">
        <v>5244295.8363643931</v>
      </c>
      <c r="E10" s="18">
        <v>3566817.8231644081</v>
      </c>
      <c r="F10" s="19">
        <v>4509799.325032548</v>
      </c>
      <c r="G10" s="19">
        <v>2832321.3118325644</v>
      </c>
      <c r="H10" s="19">
        <v>4614679.8221888058</v>
      </c>
      <c r="I10" s="19">
        <v>2917582.7120113592</v>
      </c>
      <c r="J10" s="19">
        <v>4023723.6080587483</v>
      </c>
      <c r="K10" s="19">
        <v>2476886.3442487624</v>
      </c>
      <c r="L10" s="19">
        <v>3776293.9225507239</v>
      </c>
      <c r="M10" s="19">
        <v>1988220.7300513552</v>
      </c>
      <c r="N10" s="19">
        <v>4405905.6547244731</v>
      </c>
      <c r="O10" s="19">
        <v>2701164.3420067048</v>
      </c>
      <c r="P10" s="19"/>
      <c r="Q10" s="19"/>
      <c r="R10" s="20">
        <v>4</v>
      </c>
      <c r="S10" s="20">
        <v>6603941.9426276479</v>
      </c>
      <c r="T10" s="20">
        <v>4576565.1278898399</v>
      </c>
      <c r="U10" s="20">
        <v>6206585</v>
      </c>
      <c r="V10" s="20">
        <v>4260585</v>
      </c>
      <c r="W10" t="s">
        <v>274</v>
      </c>
      <c r="X10" s="97">
        <v>0.91200000000000003</v>
      </c>
      <c r="Y10" s="97">
        <v>0.86599999999999999</v>
      </c>
      <c r="Z10" s="97">
        <v>0.87</v>
      </c>
      <c r="AA10" s="97">
        <v>4.2610000000000001</v>
      </c>
      <c r="AB10" s="97">
        <v>14.821</v>
      </c>
      <c r="AC10" s="97">
        <v>14.369</v>
      </c>
      <c r="AD10" s="97">
        <v>12.286</v>
      </c>
      <c r="AE10" s="97">
        <v>6.2140000000000004</v>
      </c>
      <c r="AF10" s="97">
        <v>3.2519999999999998</v>
      </c>
      <c r="AG10" s="97">
        <v>2.823</v>
      </c>
      <c r="AH10" s="97">
        <v>2.2040000000000002</v>
      </c>
      <c r="AI10" s="97">
        <v>1.2130000000000001</v>
      </c>
      <c r="AJ10" s="97">
        <f>SUM(X10:AI10)</f>
        <v>64.091000000000008</v>
      </c>
    </row>
    <row r="11" spans="1:37">
      <c r="A11">
        <v>5</v>
      </c>
      <c r="B11" s="17">
        <v>5010002.5946228905</v>
      </c>
      <c r="C11" s="17">
        <v>13990770.468734374</v>
      </c>
      <c r="D11" s="18">
        <v>5173457.7787379259</v>
      </c>
      <c r="E11" s="18">
        <v>14054837.867784409</v>
      </c>
      <c r="F11" s="19">
        <v>4364009.0609110855</v>
      </c>
      <c r="G11" s="19">
        <v>13245389.149957567</v>
      </c>
      <c r="H11" s="19">
        <v>4473045.2652542479</v>
      </c>
      <c r="I11" s="19">
        <v>13341446.835364804</v>
      </c>
      <c r="J11" s="19">
        <v>3902610.2707872763</v>
      </c>
      <c r="K11" s="19">
        <v>12915056.646927537</v>
      </c>
      <c r="L11" s="19">
        <v>3668370.3837423124</v>
      </c>
      <c r="M11" s="19">
        <v>12468406.505922941</v>
      </c>
      <c r="N11" s="19">
        <v>4273838.8294102456</v>
      </c>
      <c r="O11" s="19">
        <v>13166729.537257357</v>
      </c>
      <c r="P11" s="19"/>
      <c r="Q11" s="19"/>
      <c r="R11" s="20">
        <v>5</v>
      </c>
      <c r="S11" s="20">
        <v>6025863.2149349991</v>
      </c>
      <c r="T11" s="20">
        <v>13086929.622726124</v>
      </c>
      <c r="U11" s="20">
        <v>6125251</v>
      </c>
      <c r="V11" s="20">
        <v>14820889</v>
      </c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</row>
    <row r="12" spans="1:37">
      <c r="A12">
        <v>6</v>
      </c>
      <c r="B12" s="17">
        <v>6414106.0995720392</v>
      </c>
      <c r="C12" s="17">
        <v>13388680.080953976</v>
      </c>
      <c r="D12" s="18">
        <v>7254935.6079478059</v>
      </c>
      <c r="E12" s="18">
        <v>13475580.145228019</v>
      </c>
      <c r="F12" s="19">
        <v>6364555.4560086569</v>
      </c>
      <c r="G12" s="19">
        <v>12585199.993288871</v>
      </c>
      <c r="H12" s="19">
        <v>6552147.5484596314</v>
      </c>
      <c r="I12" s="19">
        <v>12695162.19069373</v>
      </c>
      <c r="J12" s="19">
        <v>5744938.3429156281</v>
      </c>
      <c r="K12" s="19">
        <v>12234260.742888009</v>
      </c>
      <c r="L12" s="19">
        <v>5750837.0512183541</v>
      </c>
      <c r="M12" s="19">
        <v>11856543.414556691</v>
      </c>
      <c r="N12" s="19">
        <v>6251899.8792006541</v>
      </c>
      <c r="O12" s="19">
        <v>12526971.298193876</v>
      </c>
      <c r="P12" s="19"/>
      <c r="Q12" s="19"/>
      <c r="R12" s="20">
        <v>6</v>
      </c>
      <c r="S12" s="20">
        <v>8613983.5558982771</v>
      </c>
      <c r="T12" s="20">
        <v>14027544.010033211</v>
      </c>
      <c r="U12" s="20">
        <v>9367913</v>
      </c>
      <c r="V12" s="20">
        <v>14369002</v>
      </c>
      <c r="W12" t="s">
        <v>276</v>
      </c>
      <c r="X12" s="97">
        <v>0.91200000000000003</v>
      </c>
      <c r="Y12" s="97">
        <v>0.86599999999999999</v>
      </c>
      <c r="Z12" s="97">
        <v>0.87</v>
      </c>
      <c r="AA12" s="97">
        <v>4.2610000000000001</v>
      </c>
      <c r="AB12" s="97">
        <v>6.125</v>
      </c>
      <c r="AC12" s="97">
        <v>9.3680000000000003</v>
      </c>
      <c r="AD12" s="97">
        <v>5.734</v>
      </c>
      <c r="AE12" s="97">
        <v>1.998</v>
      </c>
      <c r="AF12" s="97">
        <v>3.0259999999999998</v>
      </c>
      <c r="AG12" s="97">
        <v>4.718</v>
      </c>
      <c r="AH12" s="97">
        <v>0.98699999999999999</v>
      </c>
      <c r="AI12" s="97">
        <v>0.74099999999999999</v>
      </c>
      <c r="AJ12" s="97">
        <f t="shared" ref="AJ12" si="1">SUM(X12:AI12)</f>
        <v>39.606000000000002</v>
      </c>
      <c r="AK12" t="s">
        <v>277</v>
      </c>
    </row>
    <row r="13" spans="1:37">
      <c r="A13">
        <v>7</v>
      </c>
      <c r="B13" s="17">
        <v>4009313.8760988973</v>
      </c>
      <c r="C13" s="17">
        <v>11063343.684346767</v>
      </c>
      <c r="D13" s="18">
        <v>3634596.9647292998</v>
      </c>
      <c r="E13" s="18">
        <v>11220866.507893389</v>
      </c>
      <c r="F13" s="19">
        <v>2635265.4042684473</v>
      </c>
      <c r="G13" s="19">
        <v>10221534.947432537</v>
      </c>
      <c r="H13" s="19">
        <v>2829067.4443545239</v>
      </c>
      <c r="I13" s="19">
        <v>10350331.537763523</v>
      </c>
      <c r="J13" s="19">
        <v>2012236.911941553</v>
      </c>
      <c r="K13" s="19">
        <v>9863999.2096022386</v>
      </c>
      <c r="L13" s="19">
        <v>2024745.3327930986</v>
      </c>
      <c r="M13" s="19">
        <v>9509754.4956372064</v>
      </c>
      <c r="N13" s="19">
        <v>2532413.3925985284</v>
      </c>
      <c r="O13" s="19">
        <v>10168099.057325009</v>
      </c>
      <c r="P13" s="19"/>
      <c r="Q13" s="19"/>
      <c r="R13" s="20">
        <v>7</v>
      </c>
      <c r="S13" s="20">
        <v>6266132.7349162186</v>
      </c>
      <c r="T13" s="20">
        <v>13260255.784612915</v>
      </c>
      <c r="U13" s="20">
        <v>5733893</v>
      </c>
      <c r="V13" s="20">
        <v>12286411</v>
      </c>
    </row>
    <row r="14" spans="1:37">
      <c r="A14">
        <v>8</v>
      </c>
      <c r="B14" s="17">
        <v>-108396.45556290343</v>
      </c>
      <c r="C14" s="17">
        <v>4980094.9731679289</v>
      </c>
      <c r="D14" s="18">
        <v>-420137.15678549558</v>
      </c>
      <c r="E14" s="18">
        <v>4900257.4970250838</v>
      </c>
      <c r="F14" s="19">
        <v>-1290353.4580890711</v>
      </c>
      <c r="G14" s="19">
        <v>4030041.1957215085</v>
      </c>
      <c r="H14" s="19">
        <v>-1084048.5405690491</v>
      </c>
      <c r="I14" s="19">
        <v>4167317.7816319088</v>
      </c>
      <c r="J14" s="19">
        <v>-1787974.1499176393</v>
      </c>
      <c r="K14" s="19">
        <v>3673959.8178307004</v>
      </c>
      <c r="L14" s="19">
        <v>-1986898.0684382764</v>
      </c>
      <c r="M14" s="19">
        <v>3297384.7413491476</v>
      </c>
      <c r="N14" s="19">
        <v>-1380507.407346633</v>
      </c>
      <c r="O14" s="19">
        <v>3961575.6393597843</v>
      </c>
      <c r="P14" s="19"/>
      <c r="Q14" s="19"/>
      <c r="R14" s="20">
        <v>8</v>
      </c>
      <c r="S14" s="20">
        <v>2230144.2250797478</v>
      </c>
      <c r="T14" s="20">
        <v>7072499.1028917478</v>
      </c>
      <c r="U14" s="20">
        <v>1998241</v>
      </c>
      <c r="V14" s="20">
        <v>6214281</v>
      </c>
    </row>
    <row r="15" spans="1:37">
      <c r="A15">
        <v>9</v>
      </c>
      <c r="B15" s="17">
        <v>408956.15680493577</v>
      </c>
      <c r="C15" s="17">
        <v>2228649.0209618481</v>
      </c>
      <c r="D15" s="18">
        <v>443834.82389484905</v>
      </c>
      <c r="E15" s="18">
        <v>1931743.552848526</v>
      </c>
      <c r="F15" s="19">
        <v>-252840.42695792823</v>
      </c>
      <c r="G15" s="19">
        <v>1235068.3019957487</v>
      </c>
      <c r="H15" s="19">
        <v>-42634.602475964231</v>
      </c>
      <c r="I15" s="19">
        <v>1362457.5266288987</v>
      </c>
      <c r="J15" s="19">
        <v>-750003.00573963393</v>
      </c>
      <c r="K15" s="19">
        <v>949431.22432865668</v>
      </c>
      <c r="L15" s="19">
        <v>-1002344.1342209058</v>
      </c>
      <c r="M15" s="19">
        <v>430971.13113963167</v>
      </c>
      <c r="N15" s="19">
        <v>-390513.80236753146</v>
      </c>
      <c r="O15" s="19">
        <v>1157498.1684359848</v>
      </c>
      <c r="P15" s="19"/>
      <c r="Q15" s="19"/>
      <c r="R15" s="20">
        <v>9</v>
      </c>
      <c r="S15" s="20">
        <v>2694648.8647967647</v>
      </c>
      <c r="T15" s="20">
        <v>3103995.4981978238</v>
      </c>
      <c r="U15" s="20">
        <v>3026433</v>
      </c>
      <c r="V15" s="20">
        <v>3251546</v>
      </c>
    </row>
    <row r="16" spans="1:37">
      <c r="A16">
        <v>10</v>
      </c>
      <c r="B16" s="17">
        <v>3020917.4048177744</v>
      </c>
      <c r="C16" s="17">
        <v>2221923.0155000002</v>
      </c>
      <c r="D16" s="18">
        <v>4025928.7734029004</v>
      </c>
      <c r="E16" s="18">
        <v>2208853.8655000003</v>
      </c>
      <c r="F16" s="19">
        <v>3367488.9079029001</v>
      </c>
      <c r="G16" s="19">
        <v>1550414</v>
      </c>
      <c r="H16" s="19">
        <v>3443010.4251669999</v>
      </c>
      <c r="I16" s="19">
        <v>1620535.7448141</v>
      </c>
      <c r="J16" s="19">
        <v>3154253.6291669998</v>
      </c>
      <c r="K16" s="19">
        <v>1325211.1100140999</v>
      </c>
      <c r="L16" s="19">
        <v>2462164.8096669996</v>
      </c>
      <c r="M16" s="19">
        <v>638370.16966409993</v>
      </c>
      <c r="N16" s="19">
        <v>3262164.8096669996</v>
      </c>
      <c r="O16" s="19">
        <v>1438370.1696640998</v>
      </c>
      <c r="P16" s="19"/>
      <c r="Q16" s="19"/>
      <c r="R16" s="20">
        <v>10</v>
      </c>
      <c r="S16" s="20">
        <v>3699991.4814148741</v>
      </c>
      <c r="T16" s="20">
        <v>2700486.9159601508</v>
      </c>
      <c r="U16" s="20">
        <v>4718072</v>
      </c>
      <c r="V16" s="20">
        <v>2822794</v>
      </c>
    </row>
    <row r="17" spans="1:23">
      <c r="A17">
        <v>11</v>
      </c>
      <c r="B17" s="17">
        <v>490007.1283557507</v>
      </c>
      <c r="C17" s="17">
        <v>1574886.6822833335</v>
      </c>
      <c r="D17" s="18">
        <v>348441.71466006519</v>
      </c>
      <c r="E17" s="18">
        <v>1621248.4367636563</v>
      </c>
      <c r="F17" s="19">
        <v>-438100.72210359108</v>
      </c>
      <c r="G17" s="19">
        <v>834706</v>
      </c>
      <c r="H17" s="19">
        <v>-369774.9075843899</v>
      </c>
      <c r="I17" s="19">
        <v>896959.49948086753</v>
      </c>
      <c r="J17" s="19">
        <v>-605457.00059387542</v>
      </c>
      <c r="K17" s="19">
        <v>653891.54221804906</v>
      </c>
      <c r="L17" s="19">
        <v>-561941.44162773003</v>
      </c>
      <c r="M17" s="19">
        <v>90055.804585861042</v>
      </c>
      <c r="N17" s="19">
        <v>-490552.46564387542</v>
      </c>
      <c r="O17" s="19">
        <v>774697.5805697157</v>
      </c>
      <c r="P17" s="19"/>
      <c r="Q17" s="19"/>
      <c r="R17" s="20">
        <v>11</v>
      </c>
      <c r="S17" s="20">
        <v>1174674.3681760083</v>
      </c>
      <c r="T17" s="20">
        <v>2328973.6374465628</v>
      </c>
      <c r="U17" s="20">
        <v>986747.2</v>
      </c>
      <c r="V17" s="20">
        <v>2204393</v>
      </c>
    </row>
    <row r="18" spans="1:23">
      <c r="A18">
        <v>12</v>
      </c>
      <c r="B18" s="17">
        <v>220975.96012265852</v>
      </c>
      <c r="C18" s="17">
        <v>621571.85766333353</v>
      </c>
      <c r="D18" s="18">
        <v>163895.28450579644</v>
      </c>
      <c r="E18" s="18">
        <v>664494.36214365624</v>
      </c>
      <c r="F18" s="19">
        <v>-633092.07763785985</v>
      </c>
      <c r="G18" s="19">
        <v>-132493</v>
      </c>
      <c r="H18" s="19">
        <v>-569847.72081165062</v>
      </c>
      <c r="I18" s="19">
        <v>-74111.905714124121</v>
      </c>
      <c r="J18" s="19">
        <v>-753117.55238113611</v>
      </c>
      <c r="K18" s="19">
        <v>-321889.70958494302</v>
      </c>
      <c r="L18" s="19">
        <v>-517916.45743499079</v>
      </c>
      <c r="M18" s="19">
        <v>-495699.15360313118</v>
      </c>
      <c r="N18" s="19">
        <v>-633274.68145113613</v>
      </c>
      <c r="O18" s="19">
        <v>-197320.37761927649</v>
      </c>
      <c r="P18" s="19"/>
      <c r="Q18" s="19"/>
      <c r="R18" s="20">
        <v>12</v>
      </c>
      <c r="S18" s="20">
        <v>841410.48009718489</v>
      </c>
      <c r="T18" s="20">
        <v>1294274.7467351849</v>
      </c>
      <c r="U18" s="20">
        <v>741407.3</v>
      </c>
      <c r="V18" s="20">
        <v>1213737</v>
      </c>
    </row>
    <row r="19" spans="1:23">
      <c r="A19" s="9" t="s">
        <v>15</v>
      </c>
      <c r="B19" s="17">
        <f t="shared" ref="B19:O19" si="2">SUM(B7:B18)</f>
        <v>26110423.230534326</v>
      </c>
      <c r="C19" s="17">
        <f t="shared" si="2"/>
        <v>54684638.157734692</v>
      </c>
      <c r="D19" s="18">
        <f t="shared" si="2"/>
        <v>27323055.876529742</v>
      </c>
      <c r="E19" s="18">
        <f t="shared" si="2"/>
        <v>54716579.948615655</v>
      </c>
      <c r="F19" s="19">
        <f t="shared" si="2"/>
        <v>17876006.828142885</v>
      </c>
      <c r="G19" s="19">
        <f t="shared" si="2"/>
        <v>45269530.900228791</v>
      </c>
      <c r="H19" s="19">
        <f t="shared" si="2"/>
        <v>19286021.177353404</v>
      </c>
      <c r="I19" s="19">
        <f t="shared" si="2"/>
        <v>46318391.775759257</v>
      </c>
      <c r="J19" s="19">
        <f t="shared" si="2"/>
        <v>13567559.141602671</v>
      </c>
      <c r="K19" s="19">
        <f t="shared" si="2"/>
        <v>41976362.858086079</v>
      </c>
      <c r="L19" s="19">
        <f t="shared" si="2"/>
        <v>12047154.13850016</v>
      </c>
      <c r="M19" s="19">
        <f t="shared" si="2"/>
        <v>38294580.938061781</v>
      </c>
      <c r="N19" s="19">
        <f t="shared" si="2"/>
        <v>16816376.201817278</v>
      </c>
      <c r="O19" s="19">
        <f t="shared" si="2"/>
        <v>44278784.266726211</v>
      </c>
      <c r="P19" s="19"/>
      <c r="Q19" s="19"/>
      <c r="R19" s="21" t="s">
        <v>15</v>
      </c>
      <c r="S19" s="20">
        <f t="shared" ref="S19:V19" si="3">SUM(S7:S18)</f>
        <v>40853816.14488554</v>
      </c>
      <c r="T19" s="20">
        <f t="shared" si="3"/>
        <v>63665755.595110759</v>
      </c>
      <c r="U19" s="20">
        <f t="shared" si="3"/>
        <v>42034507</v>
      </c>
      <c r="V19" s="20">
        <f t="shared" si="3"/>
        <v>64092869</v>
      </c>
    </row>
    <row r="20" spans="1:23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0"/>
      <c r="S20" s="20"/>
      <c r="T20" s="20"/>
      <c r="U20" s="20"/>
      <c r="V20" s="20"/>
    </row>
    <row r="21" spans="1:23" ht="42.75" customHeight="1">
      <c r="A21" s="5" t="s">
        <v>193</v>
      </c>
      <c r="B21" s="19">
        <f t="shared" ref="B21:O21" si="4">(IF(B10&lt;0,B10)+IF(B11&lt;0,B11)+IF(B12&lt;0,B12)+IF(B13&lt;0,B13)+IF(B14&lt;0,B14)+IF(B15&lt;0,B15)+IF(B16&lt;0,B16))</f>
        <v>-108396.45556290343</v>
      </c>
      <c r="C21" s="19">
        <f t="shared" si="4"/>
        <v>0</v>
      </c>
      <c r="D21" s="19">
        <f t="shared" si="4"/>
        <v>-420137.15678549558</v>
      </c>
      <c r="E21" s="19">
        <f t="shared" si="4"/>
        <v>0</v>
      </c>
      <c r="F21" s="19">
        <f t="shared" si="4"/>
        <v>-1543193.8850469994</v>
      </c>
      <c r="G21" s="19">
        <f t="shared" si="4"/>
        <v>0</v>
      </c>
      <c r="H21" s="19">
        <f t="shared" si="4"/>
        <v>-1126683.1430450133</v>
      </c>
      <c r="I21" s="19">
        <f t="shared" si="4"/>
        <v>0</v>
      </c>
      <c r="J21" s="19">
        <f t="shared" si="4"/>
        <v>-2537977.1556572733</v>
      </c>
      <c r="K21" s="19">
        <f t="shared" si="4"/>
        <v>0</v>
      </c>
      <c r="L21" s="19">
        <f t="shared" si="4"/>
        <v>-2989242.2026591823</v>
      </c>
      <c r="M21" s="19">
        <f t="shared" si="4"/>
        <v>0</v>
      </c>
      <c r="N21" s="19">
        <f t="shared" si="4"/>
        <v>-1771021.2097141645</v>
      </c>
      <c r="O21" s="19">
        <f t="shared" si="4"/>
        <v>0</v>
      </c>
      <c r="P21" s="19"/>
      <c r="Q21" s="19"/>
      <c r="R21" s="20"/>
      <c r="S21" s="20">
        <f t="shared" ref="S21:V21" si="5">SUM(S10:S16)</f>
        <v>36134706.019668527</v>
      </c>
      <c r="T21" s="20">
        <f t="shared" si="5"/>
        <v>57828276.062311813</v>
      </c>
      <c r="U21" s="20">
        <f t="shared" si="5"/>
        <v>37176388</v>
      </c>
      <c r="V21" s="20">
        <f t="shared" si="5"/>
        <v>58025508</v>
      </c>
    </row>
    <row r="22" spans="1:23" ht="60" customHeight="1">
      <c r="A22" s="5" t="s">
        <v>24</v>
      </c>
      <c r="B22" s="19">
        <f t="shared" ref="B22:O22" si="6">(IF(B7&lt;0,B7)+IF(B8&lt;0,B8)+IF(B9&lt;0,B9)+IF(B17&lt;0,B17)+IF(B18&lt;0,B18))</f>
        <v>0</v>
      </c>
      <c r="C22" s="19">
        <f t="shared" si="6"/>
        <v>0</v>
      </c>
      <c r="D22" s="19">
        <f t="shared" si="6"/>
        <v>0</v>
      </c>
      <c r="E22" s="19">
        <f t="shared" si="6"/>
        <v>0</v>
      </c>
      <c r="F22" s="19">
        <f t="shared" si="6"/>
        <v>-1821917.4409337516</v>
      </c>
      <c r="G22" s="19">
        <f t="shared" si="6"/>
        <v>-1265144</v>
      </c>
      <c r="H22" s="19">
        <f t="shared" si="6"/>
        <v>-1499246.1850257881</v>
      </c>
      <c r="I22" s="19">
        <f t="shared" si="6"/>
        <v>-1033402.0526299275</v>
      </c>
      <c r="J22" s="19">
        <f t="shared" si="6"/>
        <v>-2732226.4656102615</v>
      </c>
      <c r="K22" s="19">
        <f t="shared" si="6"/>
        <v>-2116333.7799719768</v>
      </c>
      <c r="L22" s="19">
        <f t="shared" si="6"/>
        <v>-2646015.1588121457</v>
      </c>
      <c r="M22" s="19">
        <f t="shared" si="6"/>
        <v>-1985126.0548451515</v>
      </c>
      <c r="N22" s="19">
        <f t="shared" si="6"/>
        <v>-2138825.1540694619</v>
      </c>
      <c r="O22" s="19">
        <f t="shared" si="6"/>
        <v>-1616321.526086322</v>
      </c>
      <c r="P22" s="19"/>
      <c r="Q22" s="19"/>
      <c r="R22" s="20"/>
      <c r="S22" s="20">
        <f t="shared" ref="S22:V22" si="7">SUM(S7,S8,S9,S17,S18)</f>
        <v>4719110.1252170168</v>
      </c>
      <c r="T22" s="20">
        <f t="shared" si="7"/>
        <v>5837479.5327989496</v>
      </c>
      <c r="U22" s="20">
        <f t="shared" si="7"/>
        <v>4858119</v>
      </c>
      <c r="V22" s="20">
        <f t="shared" si="7"/>
        <v>6067361</v>
      </c>
    </row>
    <row r="23" spans="1:23">
      <c r="A23" t="s">
        <v>18</v>
      </c>
      <c r="B23" s="19">
        <f t="shared" ref="B23:O23" si="8">SUM(B21:B22)</f>
        <v>-108396.45556290343</v>
      </c>
      <c r="C23" s="19">
        <f t="shared" si="8"/>
        <v>0</v>
      </c>
      <c r="D23" s="19">
        <f t="shared" si="8"/>
        <v>-420137.15678549558</v>
      </c>
      <c r="E23" s="19">
        <f t="shared" si="8"/>
        <v>0</v>
      </c>
      <c r="F23" s="19">
        <f t="shared" si="8"/>
        <v>-3365111.3259807508</v>
      </c>
      <c r="G23" s="19">
        <f t="shared" si="8"/>
        <v>-1265144</v>
      </c>
      <c r="H23" s="19">
        <f t="shared" si="8"/>
        <v>-2625929.3280708017</v>
      </c>
      <c r="I23" s="19">
        <f t="shared" si="8"/>
        <v>-1033402.0526299275</v>
      </c>
      <c r="J23" s="19">
        <f t="shared" si="8"/>
        <v>-5270203.6212675348</v>
      </c>
      <c r="K23" s="19">
        <f t="shared" si="8"/>
        <v>-2116333.7799719768</v>
      </c>
      <c r="L23" s="19">
        <f t="shared" si="8"/>
        <v>-5635257.361471328</v>
      </c>
      <c r="M23" s="19">
        <f t="shared" si="8"/>
        <v>-1985126.0548451515</v>
      </c>
      <c r="N23" s="19">
        <f t="shared" si="8"/>
        <v>-3909846.3637836264</v>
      </c>
      <c r="O23" s="19">
        <f t="shared" si="8"/>
        <v>-1616321.526086322</v>
      </c>
      <c r="P23" s="19"/>
      <c r="Q23" s="19"/>
      <c r="R23" s="20"/>
      <c r="S23" s="20">
        <f>SUM(S21:S22)</f>
        <v>40853816.14488554</v>
      </c>
      <c r="T23" s="20">
        <f t="shared" ref="T23:V23" si="9">SUM(T21:T22)</f>
        <v>63665755.595110759</v>
      </c>
      <c r="U23" s="20">
        <f t="shared" si="9"/>
        <v>42034507</v>
      </c>
      <c r="V23" s="20">
        <f t="shared" si="9"/>
        <v>64092869</v>
      </c>
      <c r="W23" s="7" t="e">
        <f>SUM(#REF!)</f>
        <v>#REF!</v>
      </c>
    </row>
    <row r="24" spans="1:23">
      <c r="C24" s="105" t="s">
        <v>192</v>
      </c>
      <c r="D24" s="105"/>
      <c r="E24" s="105"/>
      <c r="F24" s="105"/>
      <c r="G24" s="105"/>
      <c r="H24" s="105"/>
      <c r="I24" s="105"/>
      <c r="J24" s="105"/>
      <c r="K24" s="105"/>
      <c r="L24" s="106">
        <v>-2400000</v>
      </c>
      <c r="S24" s="1"/>
    </row>
    <row r="25" spans="1:23">
      <c r="C25" s="105"/>
      <c r="D25" s="105"/>
      <c r="E25" s="105"/>
      <c r="F25" s="105"/>
      <c r="G25" s="105"/>
      <c r="H25" s="105"/>
      <c r="I25" s="105"/>
      <c r="J25" s="105"/>
      <c r="K25" s="107" t="s">
        <v>194</v>
      </c>
      <c r="L25" s="106">
        <f>L21+L24</f>
        <v>-5389242.2026591823</v>
      </c>
    </row>
    <row r="26" spans="1:23">
      <c r="C26" s="105"/>
      <c r="D26" s="105"/>
      <c r="E26" s="105"/>
      <c r="F26" s="105" t="s">
        <v>197</v>
      </c>
      <c r="G26" s="105"/>
      <c r="H26" s="105"/>
      <c r="I26" s="105"/>
      <c r="J26" s="105"/>
      <c r="K26" s="107" t="s">
        <v>195</v>
      </c>
      <c r="L26" s="106">
        <v>-9000000</v>
      </c>
    </row>
    <row r="27" spans="1:23">
      <c r="C27" s="105"/>
      <c r="D27" s="105"/>
      <c r="E27" s="105"/>
      <c r="F27" s="105"/>
      <c r="G27" s="105"/>
      <c r="H27" s="105"/>
      <c r="I27" s="105"/>
      <c r="J27" s="105"/>
      <c r="K27" s="107" t="s">
        <v>196</v>
      </c>
      <c r="L27" s="106">
        <f>SUM(L25:L26)</f>
        <v>-14389242.202659182</v>
      </c>
    </row>
    <row r="31" spans="1:23" ht="32.25" customHeight="1">
      <c r="K31" s="188" t="s">
        <v>242</v>
      </c>
      <c r="L31" s="188"/>
    </row>
    <row r="32" spans="1:23">
      <c r="K32" t="s">
        <v>40</v>
      </c>
      <c r="L32" s="19">
        <f>L7</f>
        <v>-509872.37863559677</v>
      </c>
    </row>
    <row r="33" spans="11:13">
      <c r="K33" t="s">
        <v>41</v>
      </c>
      <c r="L33" s="19">
        <f t="shared" ref="L33:L43" si="10">L8</f>
        <v>-517798.24577078281</v>
      </c>
    </row>
    <row r="34" spans="11:13">
      <c r="K34" t="s">
        <v>42</v>
      </c>
      <c r="L34" s="19">
        <f t="shared" si="10"/>
        <v>-538486.63534304523</v>
      </c>
    </row>
    <row r="35" spans="11:13">
      <c r="K35" t="s">
        <v>43</v>
      </c>
      <c r="L35" s="19">
        <f t="shared" si="10"/>
        <v>3776293.9225507239</v>
      </c>
    </row>
    <row r="36" spans="11:13">
      <c r="K36" t="s">
        <v>44</v>
      </c>
      <c r="L36" s="19">
        <f t="shared" si="10"/>
        <v>3668370.3837423124</v>
      </c>
    </row>
    <row r="37" spans="11:13">
      <c r="K37" t="s">
        <v>45</v>
      </c>
      <c r="L37" s="19">
        <f t="shared" si="10"/>
        <v>5750837.0512183541</v>
      </c>
    </row>
    <row r="38" spans="11:13">
      <c r="K38" t="s">
        <v>46</v>
      </c>
      <c r="L38" s="19">
        <f t="shared" si="10"/>
        <v>2024745.3327930986</v>
      </c>
    </row>
    <row r="39" spans="11:13">
      <c r="K39" t="s">
        <v>47</v>
      </c>
      <c r="L39" s="19">
        <f t="shared" si="10"/>
        <v>-1986898.0684382764</v>
      </c>
    </row>
    <row r="40" spans="11:13">
      <c r="K40" t="s">
        <v>48</v>
      </c>
      <c r="L40" s="19">
        <f t="shared" si="10"/>
        <v>-1002344.1342209058</v>
      </c>
    </row>
    <row r="41" spans="11:13">
      <c r="K41" t="s">
        <v>49</v>
      </c>
      <c r="L41" s="19">
        <f t="shared" si="10"/>
        <v>2462164.8096669996</v>
      </c>
    </row>
    <row r="42" spans="11:13">
      <c r="K42" t="s">
        <v>50</v>
      </c>
      <c r="L42" s="19">
        <f t="shared" si="10"/>
        <v>-561941.44162773003</v>
      </c>
    </row>
    <row r="43" spans="11:13">
      <c r="K43" t="s">
        <v>51</v>
      </c>
      <c r="L43" s="19">
        <f t="shared" si="10"/>
        <v>-517916.45743499079</v>
      </c>
    </row>
    <row r="44" spans="11:13">
      <c r="K44" s="47" t="s">
        <v>245</v>
      </c>
      <c r="L44" s="126">
        <f>SUM(L39:L43)+SUM(L32:L34)</f>
        <v>-3173092.5518043283</v>
      </c>
    </row>
    <row r="45" spans="11:13">
      <c r="K45" t="s">
        <v>244</v>
      </c>
      <c r="L45" s="19">
        <v>-8000000</v>
      </c>
      <c r="M45" t="s">
        <v>243</v>
      </c>
    </row>
    <row r="46" spans="11:13">
      <c r="K46" s="47" t="s">
        <v>246</v>
      </c>
      <c r="L46" s="126">
        <f>SUM(L44:L45)</f>
        <v>-11173092.551804328</v>
      </c>
    </row>
  </sheetData>
  <mergeCells count="3">
    <mergeCell ref="B3:C3"/>
    <mergeCell ref="D3:E3"/>
    <mergeCell ref="K31:L31"/>
  </mergeCells>
  <pageMargins left="0.70866141732283472" right="0.70866141732283472" top="0.78740157480314965" bottom="0.78740157480314965" header="0.31496062992125984" footer="0.31496062992125984"/>
  <pageSetup paperSize="9" scale="7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3" sqref="C23"/>
    </sheetView>
  </sheetViews>
  <sheetFormatPr baseColWidth="10" defaultRowHeight="14" x14ac:dyDescent="0"/>
  <sheetData>
    <row r="1" spans="1:9" s="138" customFormat="1">
      <c r="A1" s="138" t="s">
        <v>290</v>
      </c>
      <c r="B1" s="138">
        <v>2005</v>
      </c>
      <c r="C1" s="138">
        <v>2006</v>
      </c>
      <c r="D1" s="138">
        <v>2007</v>
      </c>
      <c r="E1" s="138">
        <v>2008</v>
      </c>
      <c r="F1" s="138">
        <v>2009</v>
      </c>
      <c r="G1" s="138">
        <v>2010</v>
      </c>
      <c r="H1" s="138">
        <v>2011</v>
      </c>
      <c r="I1" s="139" t="s">
        <v>292</v>
      </c>
    </row>
    <row r="2" spans="1:9">
      <c r="A2" t="s">
        <v>40</v>
      </c>
      <c r="C2">
        <v>8</v>
      </c>
      <c r="D2">
        <v>7</v>
      </c>
      <c r="E2">
        <v>10</v>
      </c>
      <c r="F2">
        <v>0</v>
      </c>
      <c r="G2">
        <v>11</v>
      </c>
      <c r="H2">
        <v>11</v>
      </c>
      <c r="I2" s="137">
        <f>SUM(C2:H2)/6</f>
        <v>7.833333333333333</v>
      </c>
    </row>
    <row r="3" spans="1:9">
      <c r="A3" t="s">
        <v>41</v>
      </c>
      <c r="C3">
        <v>9</v>
      </c>
      <c r="D3">
        <v>6</v>
      </c>
      <c r="E3">
        <v>9</v>
      </c>
      <c r="F3">
        <v>0</v>
      </c>
      <c r="G3">
        <v>12</v>
      </c>
      <c r="H3">
        <v>10</v>
      </c>
      <c r="I3" s="137">
        <f t="shared" ref="I3:I9" si="0">SUM(C3:H3)/6</f>
        <v>7.666666666666667</v>
      </c>
    </row>
    <row r="4" spans="1:9">
      <c r="A4" t="s">
        <v>42</v>
      </c>
      <c r="C4">
        <v>7</v>
      </c>
      <c r="D4">
        <v>7</v>
      </c>
      <c r="E4">
        <v>6</v>
      </c>
      <c r="F4">
        <v>1</v>
      </c>
      <c r="G4">
        <v>1</v>
      </c>
      <c r="H4">
        <v>2</v>
      </c>
      <c r="I4" s="137">
        <f t="shared" si="0"/>
        <v>4</v>
      </c>
    </row>
    <row r="5" spans="1:9">
      <c r="A5" t="s">
        <v>43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 s="137">
        <f t="shared" si="0"/>
        <v>0.16666666666666666</v>
      </c>
    </row>
    <row r="6" spans="1:9">
      <c r="A6" t="s">
        <v>44</v>
      </c>
      <c r="C6">
        <v>1</v>
      </c>
      <c r="D6">
        <v>6</v>
      </c>
      <c r="E6">
        <v>1</v>
      </c>
      <c r="F6">
        <v>0</v>
      </c>
      <c r="G6">
        <v>0</v>
      </c>
      <c r="H6">
        <v>0</v>
      </c>
      <c r="I6" s="137">
        <f t="shared" si="0"/>
        <v>1.3333333333333333</v>
      </c>
    </row>
    <row r="7" spans="1:9">
      <c r="A7" t="s">
        <v>45</v>
      </c>
      <c r="C7">
        <v>3</v>
      </c>
      <c r="D7">
        <v>7</v>
      </c>
      <c r="E7">
        <v>2</v>
      </c>
      <c r="F7">
        <v>12</v>
      </c>
      <c r="G7">
        <v>2</v>
      </c>
      <c r="H7">
        <v>2</v>
      </c>
      <c r="I7" s="137">
        <f t="shared" si="0"/>
        <v>4.666666666666667</v>
      </c>
    </row>
    <row r="8" spans="1:9">
      <c r="A8" t="s">
        <v>46</v>
      </c>
      <c r="C8">
        <v>11</v>
      </c>
      <c r="D8">
        <v>14</v>
      </c>
      <c r="E8">
        <v>7</v>
      </c>
      <c r="F8">
        <v>7</v>
      </c>
      <c r="G8">
        <v>5</v>
      </c>
      <c r="H8">
        <v>1</v>
      </c>
      <c r="I8" s="137">
        <f t="shared" si="0"/>
        <v>7.5</v>
      </c>
    </row>
    <row r="9" spans="1:9">
      <c r="A9" t="s">
        <v>47</v>
      </c>
      <c r="C9">
        <v>5</v>
      </c>
      <c r="D9">
        <v>13</v>
      </c>
      <c r="E9">
        <v>11</v>
      </c>
      <c r="F9">
        <v>4</v>
      </c>
      <c r="G9">
        <v>8</v>
      </c>
      <c r="H9">
        <v>3</v>
      </c>
      <c r="I9" s="137">
        <f t="shared" si="0"/>
        <v>7.333333333333333</v>
      </c>
    </row>
    <row r="10" spans="1:9">
      <c r="A10" t="s">
        <v>48</v>
      </c>
      <c r="B10">
        <v>8</v>
      </c>
      <c r="C10">
        <v>5</v>
      </c>
      <c r="D10">
        <v>5</v>
      </c>
      <c r="E10">
        <v>12</v>
      </c>
      <c r="F10">
        <v>3</v>
      </c>
      <c r="G10">
        <v>7</v>
      </c>
      <c r="H10">
        <v>2</v>
      </c>
      <c r="I10" s="137">
        <f>SUM(B10:H10)/7</f>
        <v>6</v>
      </c>
    </row>
    <row r="11" spans="1:9">
      <c r="A11" t="s">
        <v>49</v>
      </c>
      <c r="B11">
        <v>7</v>
      </c>
      <c r="C11">
        <v>5</v>
      </c>
      <c r="D11">
        <v>9</v>
      </c>
      <c r="E11">
        <v>13</v>
      </c>
      <c r="F11">
        <v>8</v>
      </c>
      <c r="G11">
        <v>9</v>
      </c>
      <c r="H11">
        <v>7</v>
      </c>
      <c r="I11" s="137">
        <f t="shared" ref="I11:I13" si="1">SUM(B11:H11)/7</f>
        <v>8.2857142857142865</v>
      </c>
    </row>
    <row r="12" spans="1:9">
      <c r="A12" t="s">
        <v>50</v>
      </c>
      <c r="B12">
        <v>10</v>
      </c>
      <c r="C12">
        <v>6</v>
      </c>
      <c r="D12">
        <v>10</v>
      </c>
      <c r="E12">
        <v>12</v>
      </c>
      <c r="F12">
        <v>8</v>
      </c>
      <c r="G12">
        <v>10</v>
      </c>
      <c r="H12">
        <v>12</v>
      </c>
      <c r="I12" s="137">
        <f t="shared" si="1"/>
        <v>9.7142857142857135</v>
      </c>
    </row>
    <row r="13" spans="1:9">
      <c r="A13" t="s">
        <v>51</v>
      </c>
      <c r="B13">
        <v>8</v>
      </c>
      <c r="C13">
        <v>7</v>
      </c>
      <c r="D13">
        <v>7</v>
      </c>
      <c r="E13">
        <v>12</v>
      </c>
      <c r="F13">
        <v>8</v>
      </c>
      <c r="G13">
        <v>10</v>
      </c>
      <c r="H13">
        <v>11</v>
      </c>
      <c r="I13" s="137">
        <f t="shared" si="1"/>
        <v>9</v>
      </c>
    </row>
    <row r="14" spans="1:9" ht="20.25" customHeight="1">
      <c r="A14" t="s">
        <v>129</v>
      </c>
      <c r="B14">
        <f>SUM(B2:B13)</f>
        <v>33</v>
      </c>
      <c r="C14">
        <f t="shared" ref="C14:H14" si="2">SUM(C2:C13)</f>
        <v>67</v>
      </c>
      <c r="D14">
        <f t="shared" si="2"/>
        <v>92</v>
      </c>
      <c r="E14">
        <f t="shared" si="2"/>
        <v>95</v>
      </c>
      <c r="F14">
        <f t="shared" si="2"/>
        <v>51</v>
      </c>
      <c r="G14">
        <f t="shared" si="2"/>
        <v>75</v>
      </c>
      <c r="H14">
        <f t="shared" si="2"/>
        <v>61</v>
      </c>
      <c r="I14" s="137">
        <f>SUM(I2:I13)</f>
        <v>73.5</v>
      </c>
    </row>
    <row r="15" spans="1:9">
      <c r="A15" t="s">
        <v>291</v>
      </c>
      <c r="C15">
        <f>SUM(C2:C9)+SUM(B10:B13)</f>
        <v>77</v>
      </c>
      <c r="D15">
        <f t="shared" ref="D15:H15" si="3">SUM(D2:D9)+SUM(C10:C13)</f>
        <v>84</v>
      </c>
      <c r="E15">
        <f t="shared" si="3"/>
        <v>77</v>
      </c>
      <c r="F15">
        <f t="shared" si="3"/>
        <v>73</v>
      </c>
      <c r="G15">
        <f t="shared" si="3"/>
        <v>66</v>
      </c>
      <c r="H15">
        <f t="shared" si="3"/>
        <v>65</v>
      </c>
    </row>
    <row r="17" spans="8:9">
      <c r="H17" s="83" t="s">
        <v>293</v>
      </c>
      <c r="I17" s="137">
        <f>SUM(B14:H14)/76</f>
        <v>6.2368421052631575</v>
      </c>
    </row>
  </sheetData>
  <pageMargins left="0.70866141732283472" right="0.70866141732283472" top="0.78740157480314965" bottom="0.78740157480314965" header="0.31496062992125984" footer="0.31496062992125984"/>
  <pageSetup paperSize="9" orientation="landscape"/>
  <headerFooter>
    <oddHeader>&amp;L&amp;F&amp;R&amp;A</oddHeader>
    <oddFooter>&amp;LUni BE / WT&amp;R&amp;D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23" sqref="C23"/>
    </sheetView>
  </sheetViews>
  <sheetFormatPr baseColWidth="10" defaultRowHeight="14" x14ac:dyDescent="0"/>
  <cols>
    <col min="1" max="1" width="19.33203125" customWidth="1"/>
    <col min="4" max="4" width="19.5" customWidth="1"/>
  </cols>
  <sheetData>
    <row r="1" spans="1:7" s="82" customFormat="1">
      <c r="A1" s="82" t="s">
        <v>92</v>
      </c>
      <c r="B1" s="82" t="s">
        <v>104</v>
      </c>
      <c r="C1" s="82" t="s">
        <v>105</v>
      </c>
      <c r="D1" s="82" t="s">
        <v>106</v>
      </c>
      <c r="E1" s="82" t="s">
        <v>107</v>
      </c>
    </row>
    <row r="2" spans="1:7">
      <c r="A2" t="s">
        <v>93</v>
      </c>
      <c r="B2" s="81">
        <v>1560</v>
      </c>
      <c r="C2" s="81">
        <v>130000</v>
      </c>
      <c r="D2" t="s">
        <v>108</v>
      </c>
      <c r="E2" t="s">
        <v>115</v>
      </c>
      <c r="G2" t="s">
        <v>120</v>
      </c>
    </row>
    <row r="3" spans="1:7">
      <c r="A3" t="s">
        <v>94</v>
      </c>
      <c r="B3" s="81">
        <v>1405</v>
      </c>
      <c r="C3" s="81">
        <v>70000</v>
      </c>
      <c r="D3" t="s">
        <v>108</v>
      </c>
      <c r="E3" t="s">
        <v>116</v>
      </c>
      <c r="G3" t="s">
        <v>270</v>
      </c>
    </row>
    <row r="4" spans="1:7">
      <c r="A4" t="s">
        <v>95</v>
      </c>
      <c r="B4" s="81">
        <v>1497</v>
      </c>
      <c r="C4" s="81">
        <v>117800</v>
      </c>
      <c r="D4" t="s">
        <v>38</v>
      </c>
      <c r="E4" t="s">
        <v>115</v>
      </c>
      <c r="G4" t="s">
        <v>270</v>
      </c>
    </row>
    <row r="5" spans="1:7">
      <c r="A5" t="s">
        <v>96</v>
      </c>
      <c r="B5" s="81">
        <v>1424</v>
      </c>
      <c r="C5" s="81">
        <v>204000</v>
      </c>
      <c r="D5" t="s">
        <v>38</v>
      </c>
      <c r="E5" t="s">
        <v>115</v>
      </c>
      <c r="G5" t="s">
        <v>270</v>
      </c>
    </row>
    <row r="6" spans="1:7">
      <c r="A6" t="s">
        <v>97</v>
      </c>
      <c r="B6" s="81">
        <v>1455</v>
      </c>
      <c r="C6" s="81">
        <v>50000</v>
      </c>
      <c r="D6" t="s">
        <v>118</v>
      </c>
      <c r="E6" t="s">
        <v>119</v>
      </c>
      <c r="G6" t="s">
        <v>270</v>
      </c>
    </row>
    <row r="7" spans="1:7">
      <c r="A7" t="s">
        <v>98</v>
      </c>
      <c r="B7" s="81">
        <v>1440</v>
      </c>
      <c r="C7" s="81">
        <v>30000</v>
      </c>
      <c r="D7" t="s">
        <v>117</v>
      </c>
      <c r="E7" t="s">
        <v>110</v>
      </c>
      <c r="G7" t="s">
        <v>270</v>
      </c>
    </row>
    <row r="8" spans="1:7">
      <c r="A8" t="s">
        <v>99</v>
      </c>
      <c r="B8" s="81">
        <v>1440</v>
      </c>
      <c r="C8" s="81">
        <v>30000</v>
      </c>
      <c r="D8" t="s">
        <v>117</v>
      </c>
      <c r="E8" t="s">
        <v>110</v>
      </c>
      <c r="G8" t="s">
        <v>270</v>
      </c>
    </row>
    <row r="9" spans="1:7">
      <c r="A9" t="s">
        <v>100</v>
      </c>
      <c r="B9" s="81">
        <v>1490</v>
      </c>
      <c r="C9" s="81">
        <f>50*30*1.5</f>
        <v>2250</v>
      </c>
      <c r="D9" t="s">
        <v>38</v>
      </c>
      <c r="E9" t="s">
        <v>112</v>
      </c>
      <c r="G9" t="s">
        <v>270</v>
      </c>
    </row>
    <row r="10" spans="1:7">
      <c r="A10" t="s">
        <v>101</v>
      </c>
      <c r="B10" s="81">
        <v>1333</v>
      </c>
      <c r="C10" s="81">
        <v>70000</v>
      </c>
      <c r="D10" t="s">
        <v>108</v>
      </c>
      <c r="E10" t="s">
        <v>110</v>
      </c>
      <c r="G10" t="s">
        <v>270</v>
      </c>
    </row>
    <row r="11" spans="1:7">
      <c r="A11" t="s">
        <v>102</v>
      </c>
      <c r="B11" s="81">
        <v>1140</v>
      </c>
      <c r="C11" s="81">
        <v>50000</v>
      </c>
      <c r="D11" t="s">
        <v>108</v>
      </c>
      <c r="E11" t="s">
        <v>110</v>
      </c>
      <c r="G11" t="s">
        <v>270</v>
      </c>
    </row>
    <row r="12" spans="1:7" ht="24" customHeight="1">
      <c r="B12" s="81"/>
      <c r="C12" s="81">
        <f>SUM(C2:C11)</f>
        <v>754050</v>
      </c>
    </row>
    <row r="13" spans="1:7" ht="25.5" customHeight="1">
      <c r="A13" t="s">
        <v>103</v>
      </c>
      <c r="B13" s="81"/>
      <c r="C13" s="81">
        <v>50000000</v>
      </c>
      <c r="E13" t="s">
        <v>268</v>
      </c>
      <c r="G13" t="s">
        <v>269</v>
      </c>
    </row>
    <row r="17" spans="1:2">
      <c r="A17" t="s">
        <v>67</v>
      </c>
      <c r="B17" t="s">
        <v>109</v>
      </c>
    </row>
    <row r="18" spans="1:2">
      <c r="A18" t="s">
        <v>69</v>
      </c>
      <c r="B18" t="s">
        <v>110</v>
      </c>
    </row>
    <row r="19" spans="1:2">
      <c r="A19" t="s">
        <v>113</v>
      </c>
      <c r="B19" t="s">
        <v>114</v>
      </c>
    </row>
    <row r="20" spans="1:2">
      <c r="A20" t="s">
        <v>111</v>
      </c>
      <c r="B20" t="s">
        <v>112</v>
      </c>
    </row>
    <row r="21" spans="1:2">
      <c r="A21" t="s">
        <v>266</v>
      </c>
      <c r="B21" t="s">
        <v>267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Donnés LAW Prototyp</vt:lpstr>
      <vt:lpstr>Structure Donnés LAW</vt:lpstr>
      <vt:lpstr>Daten LAW Alle</vt:lpstr>
      <vt:lpstr>Strukturierung Daten Montana</vt:lpstr>
      <vt:lpstr>Montana Grafiken</vt:lpstr>
      <vt:lpstr>Zahlen MontanAqua</vt:lpstr>
      <vt:lpstr>Defizite BSchädler</vt:lpstr>
      <vt:lpstr>W-fürEnergie</vt:lpstr>
      <vt:lpstr>Wasserspeicher Region</vt:lpstr>
      <vt:lpstr>Abflüsse-Diverse</vt:lpstr>
      <vt:lpstr>Tseuzier-Lienne</vt:lpstr>
      <vt:lpstr>Wasserverbrauch pro EW</vt:lpstr>
      <vt:lpstr>Einzugsgebiet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Sasa Arsic</cp:lastModifiedBy>
  <cp:lastPrinted>2016-03-23T08:08:12Z</cp:lastPrinted>
  <dcterms:created xsi:type="dcterms:W3CDTF">2014-10-13T08:54:03Z</dcterms:created>
  <dcterms:modified xsi:type="dcterms:W3CDTF">2016-04-04T08:57:03Z</dcterms:modified>
</cp:coreProperties>
</file>