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990" windowHeight="7995" activeTab="2"/>
  </bookViews>
  <sheets>
    <sheet name="exercice 1" sheetId="8" r:id="rId1"/>
    <sheet name="exercice 2" sheetId="6" r:id="rId2"/>
    <sheet name="exercice 3_avec rebalancement" sheetId="17" r:id="rId3"/>
    <sheet name="ex3_sans rebalancement" sheetId="18" r:id="rId4"/>
    <sheet name="ex4" sheetId="19" r:id="rId5"/>
    <sheet name="ex5" sheetId="20" r:id="rId6"/>
    <sheet name="ex6" sheetId="21" r:id="rId7"/>
    <sheet name="ex7" sheetId="22" r:id="rId8"/>
    <sheet name="Ex 8" sheetId="23" r:id="rId9"/>
    <sheet name="Ex 9" sheetId="24" r:id="rId10"/>
    <sheet name="Ex 10" sheetId="25" r:id="rId11"/>
    <sheet name="Ex 11" sheetId="26" r:id="rId12"/>
    <sheet name="Ex12" sheetId="27" r:id="rId13"/>
    <sheet name="EX 13" sheetId="28" r:id="rId14"/>
  </sheets>
  <definedNames>
    <definedName name="solver_adj" localSheetId="0" hidden="1">'exercice 1'!$D$12</definedName>
    <definedName name="solver_adj" localSheetId="1" hidden="1">'exercice 2'!$C$13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'exercice 1'!$D$15</definedName>
    <definedName name="solver_opt" localSheetId="1" hidden="1">'exercice 2'!$E$17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0.2</definedName>
    <definedName name="solver_val" localSheetId="1" hidden="1">0</definedName>
  </definedNames>
  <calcPr calcId="145621"/>
</workbook>
</file>

<file path=xl/calcChain.xml><?xml version="1.0" encoding="utf-8"?>
<calcChain xmlns="http://schemas.openxmlformats.org/spreadsheetml/2006/main">
  <c r="D25" i="28" l="1"/>
  <c r="D24" i="28"/>
  <c r="C17" i="28"/>
  <c r="D17" i="28" s="1"/>
  <c r="C16" i="28"/>
  <c r="B16" i="28"/>
  <c r="D16" i="28" s="1"/>
  <c r="B9" i="28"/>
  <c r="B8" i="28"/>
  <c r="B13" i="27"/>
  <c r="K3" i="27"/>
  <c r="C19" i="27" s="1"/>
  <c r="A24" i="27" s="1"/>
  <c r="C5" i="27"/>
  <c r="D5" i="27"/>
  <c r="E5" i="27"/>
  <c r="F5" i="27"/>
  <c r="G5" i="27"/>
  <c r="H5" i="27"/>
  <c r="B5" i="27"/>
  <c r="C48" i="22"/>
  <c r="D35" i="22"/>
  <c r="D11" i="21"/>
  <c r="A38" i="20"/>
  <c r="F18" i="20"/>
  <c r="F9" i="20"/>
  <c r="B39" i="26"/>
  <c r="H13" i="26"/>
  <c r="H15" i="26"/>
  <c r="E27" i="26"/>
  <c r="D27" i="26"/>
  <c r="D26" i="26"/>
  <c r="E26" i="26" s="1"/>
  <c r="F26" i="26" s="1"/>
  <c r="D25" i="26"/>
  <c r="E25" i="26" s="1"/>
  <c r="F25" i="26" s="1"/>
  <c r="D24" i="26"/>
  <c r="E24" i="26" s="1"/>
  <c r="F24" i="26" s="1"/>
  <c r="D23" i="26"/>
  <c r="E23" i="26" s="1"/>
  <c r="F23" i="26" s="1"/>
  <c r="D22" i="26"/>
  <c r="E22" i="26" s="1"/>
  <c r="F22" i="26" s="1"/>
  <c r="B54" i="26" s="1"/>
  <c r="D21" i="26"/>
  <c r="E21" i="26" s="1"/>
  <c r="F21" i="26" s="1"/>
  <c r="C27" i="26"/>
  <c r="C26" i="26"/>
  <c r="C25" i="26"/>
  <c r="C24" i="26"/>
  <c r="C23" i="26"/>
  <c r="C22" i="26"/>
  <c r="C21" i="26"/>
  <c r="B27" i="26"/>
  <c r="B26" i="26"/>
  <c r="B49" i="26" s="1"/>
  <c r="B25" i="26"/>
  <c r="B24" i="26"/>
  <c r="B23" i="26"/>
  <c r="B55" i="26" s="1"/>
  <c r="B22" i="26"/>
  <c r="B21" i="26"/>
  <c r="F11" i="26"/>
  <c r="H27" i="26" s="1"/>
  <c r="E12" i="26"/>
  <c r="F12" i="26" s="1"/>
  <c r="E11" i="26"/>
  <c r="D17" i="26"/>
  <c r="E17" i="26" s="1"/>
  <c r="D16" i="26"/>
  <c r="E16" i="26" s="1"/>
  <c r="F16" i="26" s="1"/>
  <c r="D15" i="26"/>
  <c r="E15" i="26" s="1"/>
  <c r="F15" i="26" s="1"/>
  <c r="D14" i="26"/>
  <c r="E14" i="26" s="1"/>
  <c r="F14" i="26" s="1"/>
  <c r="D13" i="26"/>
  <c r="E13" i="26" s="1"/>
  <c r="D12" i="26"/>
  <c r="D11" i="26"/>
  <c r="C17" i="26"/>
  <c r="C16" i="26"/>
  <c r="C15" i="26"/>
  <c r="C14" i="26"/>
  <c r="C13" i="26"/>
  <c r="C12" i="26"/>
  <c r="C11" i="26"/>
  <c r="B11" i="26"/>
  <c r="H11" i="26" s="1"/>
  <c r="B17" i="26"/>
  <c r="B16" i="26"/>
  <c r="B15" i="26"/>
  <c r="B14" i="26"/>
  <c r="B13" i="26"/>
  <c r="B12" i="26"/>
  <c r="C25" i="25"/>
  <c r="D19" i="25"/>
  <c r="C19" i="25" s="1"/>
  <c r="C26" i="25" s="1"/>
  <c r="D18" i="25"/>
  <c r="D17" i="25"/>
  <c r="C18" i="25"/>
  <c r="B12" i="25"/>
  <c r="B11" i="25"/>
  <c r="C5" i="25"/>
  <c r="C4" i="25"/>
  <c r="C3" i="25"/>
  <c r="B18" i="24"/>
  <c r="C15" i="24"/>
  <c r="C14" i="24"/>
  <c r="C13" i="24"/>
  <c r="B15" i="24"/>
  <c r="B14" i="24"/>
  <c r="B19" i="24" s="1"/>
  <c r="B13" i="24"/>
  <c r="C19" i="23"/>
  <c r="D32" i="23"/>
  <c r="B30" i="23"/>
  <c r="B29" i="23"/>
  <c r="B28" i="23"/>
  <c r="B27" i="23"/>
  <c r="B35" i="23" s="1"/>
  <c r="C37" i="23" s="1"/>
  <c r="B18" i="23"/>
  <c r="B17" i="23"/>
  <c r="D49" i="22"/>
  <c r="D48" i="22"/>
  <c r="B48" i="22"/>
  <c r="E48" i="22"/>
  <c r="E49" i="22" s="1"/>
  <c r="C58" i="22"/>
  <c r="B58" i="22"/>
  <c r="C49" i="22" s="1"/>
  <c r="J6" i="22"/>
  <c r="J7" i="22" s="1"/>
  <c r="J5" i="22"/>
  <c r="J4" i="22"/>
  <c r="D12" i="21"/>
  <c r="D13" i="21"/>
  <c r="D14" i="21"/>
  <c r="D15" i="21"/>
  <c r="D16" i="21"/>
  <c r="D17" i="21"/>
  <c r="D18" i="21"/>
  <c r="D19" i="21"/>
  <c r="E12" i="21"/>
  <c r="F12" i="21" s="1"/>
  <c r="G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G18" i="21" s="1"/>
  <c r="E19" i="21"/>
  <c r="F19" i="21" s="1"/>
  <c r="E11" i="21"/>
  <c r="F11" i="21" s="1"/>
  <c r="G11" i="21" s="1"/>
  <c r="H11" i="21" s="1"/>
  <c r="H12" i="21" s="1"/>
  <c r="A40" i="20"/>
  <c r="H13" i="20"/>
  <c r="C9" i="20"/>
  <c r="D9" i="20"/>
  <c r="E9" i="20"/>
  <c r="B9" i="20"/>
  <c r="C20" i="19"/>
  <c r="E12" i="19"/>
  <c r="E16" i="19" s="1"/>
  <c r="E13" i="19"/>
  <c r="E14" i="19"/>
  <c r="E15" i="19"/>
  <c r="E11" i="19"/>
  <c r="D12" i="19"/>
  <c r="D13" i="19"/>
  <c r="D14" i="19"/>
  <c r="D15" i="19"/>
  <c r="D11" i="19"/>
  <c r="D16" i="19" s="1"/>
  <c r="C12" i="19"/>
  <c r="C13" i="19"/>
  <c r="C16" i="19" s="1"/>
  <c r="C14" i="19"/>
  <c r="C15" i="19"/>
  <c r="C11" i="19"/>
  <c r="C23" i="19" s="1"/>
  <c r="B12" i="19"/>
  <c r="B13" i="19"/>
  <c r="B14" i="19"/>
  <c r="B15" i="19"/>
  <c r="B11" i="19"/>
  <c r="B16" i="19" s="1"/>
  <c r="M12" i="18"/>
  <c r="D6" i="17"/>
  <c r="C6" i="17"/>
  <c r="B6" i="17"/>
  <c r="M14" i="18"/>
  <c r="H14" i="18"/>
  <c r="F14" i="18"/>
  <c r="D14" i="18"/>
  <c r="H13" i="18"/>
  <c r="F13" i="18"/>
  <c r="D13" i="18"/>
  <c r="H12" i="18"/>
  <c r="F12" i="18"/>
  <c r="J12" i="18" s="1"/>
  <c r="I12" i="18" s="1"/>
  <c r="D12" i="18"/>
  <c r="H6" i="18"/>
  <c r="G6" i="18"/>
  <c r="F6" i="18"/>
  <c r="D6" i="18"/>
  <c r="M13" i="18" s="1"/>
  <c r="C6" i="18"/>
  <c r="L14" i="18" s="1"/>
  <c r="B6" i="18"/>
  <c r="K14" i="18" s="1"/>
  <c r="H15" i="17"/>
  <c r="H14" i="17"/>
  <c r="F14" i="17"/>
  <c r="J14" i="17" s="1"/>
  <c r="D14" i="17"/>
  <c r="H13" i="17"/>
  <c r="F13" i="17"/>
  <c r="D13" i="17"/>
  <c r="H12" i="17"/>
  <c r="F12" i="17"/>
  <c r="D12" i="17"/>
  <c r="H6" i="17"/>
  <c r="J12" i="17" s="1"/>
  <c r="G6" i="17"/>
  <c r="F6" i="17"/>
  <c r="J13" i="17" s="1"/>
  <c r="C21" i="27" l="1"/>
  <c r="A27" i="27" s="1"/>
  <c r="G19" i="21"/>
  <c r="G17" i="21"/>
  <c r="K7" i="22"/>
  <c r="L7" i="22" s="1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K21" i="22" s="1"/>
  <c r="M21" i="22" s="1"/>
  <c r="H28" i="26"/>
  <c r="F13" i="26"/>
  <c r="H21" i="26"/>
  <c r="B53" i="26"/>
  <c r="G15" i="21"/>
  <c r="H30" i="26"/>
  <c r="G16" i="21"/>
  <c r="G14" i="21"/>
  <c r="B47" i="26"/>
  <c r="H29" i="26"/>
  <c r="I12" i="17"/>
  <c r="I18" i="17"/>
  <c r="H23" i="26"/>
  <c r="G13" i="21"/>
  <c r="H13" i="21" s="1"/>
  <c r="H14" i="21" s="1"/>
  <c r="H15" i="21" s="1"/>
  <c r="H16" i="21" s="1"/>
  <c r="H17" i="21" s="1"/>
  <c r="H18" i="21" s="1"/>
  <c r="H19" i="21" s="1"/>
  <c r="H24" i="26"/>
  <c r="B48" i="26"/>
  <c r="F15" i="17"/>
  <c r="H16" i="26"/>
  <c r="H22" i="26"/>
  <c r="H32" i="26"/>
  <c r="B49" i="22"/>
  <c r="K12" i="18"/>
  <c r="B38" i="26"/>
  <c r="L12" i="18"/>
  <c r="H14" i="26"/>
  <c r="H20" i="26"/>
  <c r="B40" i="26"/>
  <c r="D15" i="17"/>
  <c r="H12" i="26"/>
  <c r="H31" i="26"/>
  <c r="H19" i="26"/>
  <c r="K15" i="22"/>
  <c r="K16" i="22"/>
  <c r="K8" i="22"/>
  <c r="L8" i="22" s="1"/>
  <c r="K9" i="22"/>
  <c r="L9" i="22" s="1"/>
  <c r="K5" i="22"/>
  <c r="L5" i="22" s="1"/>
  <c r="L18" i="22"/>
  <c r="K4" i="22"/>
  <c r="L4" i="22" s="1"/>
  <c r="K18" i="22"/>
  <c r="K14" i="22"/>
  <c r="L14" i="22" s="1"/>
  <c r="K6" i="22"/>
  <c r="L6" i="22" s="1"/>
  <c r="N14" i="18"/>
  <c r="P14" i="18" s="1"/>
  <c r="L13" i="18"/>
  <c r="K13" i="18"/>
  <c r="N7" i="22" l="1"/>
  <c r="K19" i="22"/>
  <c r="L19" i="22" s="1"/>
  <c r="M14" i="22"/>
  <c r="L15" i="22"/>
  <c r="M5" i="22"/>
  <c r="N5" i="22" s="1"/>
  <c r="N14" i="22"/>
  <c r="M18" i="22"/>
  <c r="N18" i="22" s="1"/>
  <c r="M16" i="22"/>
  <c r="M15" i="22"/>
  <c r="M7" i="22"/>
  <c r="L16" i="22"/>
  <c r="K12" i="22"/>
  <c r="K13" i="22"/>
  <c r="M13" i="22" s="1"/>
  <c r="K20" i="22"/>
  <c r="M20" i="22" s="1"/>
  <c r="K17" i="22"/>
  <c r="M17" i="22" s="1"/>
  <c r="L21" i="22"/>
  <c r="K10" i="22"/>
  <c r="M9" i="22"/>
  <c r="N9" i="22" s="1"/>
  <c r="K11" i="22"/>
  <c r="L11" i="22" s="1"/>
  <c r="N16" i="22"/>
  <c r="N21" i="22"/>
  <c r="M8" i="22"/>
  <c r="N8" i="22" s="1"/>
  <c r="M6" i="22"/>
  <c r="N6" i="22" s="1"/>
  <c r="L13" i="22"/>
  <c r="N13" i="22" s="1"/>
  <c r="M4" i="22"/>
  <c r="N4" i="22" s="1"/>
  <c r="N13" i="18"/>
  <c r="Q13" i="18" s="1"/>
  <c r="I13" i="17"/>
  <c r="I14" i="17" s="1"/>
  <c r="E18" i="17" s="1"/>
  <c r="N12" i="18"/>
  <c r="Q12" i="18" s="1"/>
  <c r="Q14" i="18"/>
  <c r="O14" i="18"/>
  <c r="L17" i="22" l="1"/>
  <c r="N17" i="22" s="1"/>
  <c r="L10" i="22"/>
  <c r="N10" i="22" s="1"/>
  <c r="M10" i="22"/>
  <c r="M19" i="22"/>
  <c r="M11" i="22"/>
  <c r="N19" i="22"/>
  <c r="M12" i="22"/>
  <c r="L12" i="22"/>
  <c r="N15" i="22"/>
  <c r="N11" i="22"/>
  <c r="O12" i="18"/>
  <c r="J13" i="18" s="1"/>
  <c r="L20" i="22"/>
  <c r="N20" i="22" s="1"/>
  <c r="P13" i="18"/>
  <c r="I13" i="18"/>
  <c r="O13" i="18"/>
  <c r="P12" i="18"/>
  <c r="N12" i="22" l="1"/>
  <c r="J14" i="18"/>
  <c r="I14" i="18" s="1"/>
  <c r="E18" i="18" s="1"/>
  <c r="G8" i="8" l="1"/>
  <c r="D17" i="8" s="1"/>
  <c r="D18" i="8" s="1"/>
  <c r="C5" i="6"/>
  <c r="E8" i="6" s="1"/>
  <c r="G9" i="8"/>
  <c r="D13" i="8"/>
  <c r="D15" i="8" s="1"/>
  <c r="C14" i="6"/>
  <c r="E17" i="6" s="1"/>
</calcChain>
</file>

<file path=xl/sharedStrings.xml><?xml version="1.0" encoding="utf-8"?>
<sst xmlns="http://schemas.openxmlformats.org/spreadsheetml/2006/main" count="371" uniqueCount="227">
  <si>
    <t>A</t>
  </si>
  <si>
    <t>B</t>
  </si>
  <si>
    <t>C</t>
  </si>
  <si>
    <t>prix</t>
  </si>
  <si>
    <t>renta</t>
  </si>
  <si>
    <t>xA</t>
  </si>
  <si>
    <t>xB</t>
  </si>
  <si>
    <t>sigmaA</t>
  </si>
  <si>
    <t>sigmaB</t>
  </si>
  <si>
    <t>var port</t>
  </si>
  <si>
    <t>E(ra)</t>
  </si>
  <si>
    <t>E(rb)</t>
  </si>
  <si>
    <t>cov(ra,rm)</t>
  </si>
  <si>
    <t>cov(rb,rm)</t>
  </si>
  <si>
    <t>var(rm)</t>
  </si>
  <si>
    <t>xa</t>
  </si>
  <si>
    <t>xb</t>
  </si>
  <si>
    <t>E(rp)</t>
  </si>
  <si>
    <t>beta a</t>
  </si>
  <si>
    <t>beta b</t>
  </si>
  <si>
    <t>corr(rA,rB)=</t>
  </si>
  <si>
    <t>composition portefeuille au 31 mars 2007</t>
  </si>
  <si>
    <t>proportions initiales</t>
  </si>
  <si>
    <t>NB</t>
  </si>
  <si>
    <t>portefeuille</t>
  </si>
  <si>
    <t>renta
mensuelle 
du portefeuille</t>
  </si>
  <si>
    <t>renta du pf sur toute la période</t>
  </si>
  <si>
    <t>ou autre manière de calculer</t>
  </si>
  <si>
    <t>capitalisation boursière</t>
  </si>
  <si>
    <t>proportions investies dans chaque titre</t>
  </si>
  <si>
    <t>richesse investie dans le titre A</t>
  </si>
  <si>
    <t>richesse investie dans le titre B</t>
  </si>
  <si>
    <t>richesse investie dans le titre C</t>
  </si>
  <si>
    <t>valeur du port</t>
  </si>
  <si>
    <t>année</t>
  </si>
  <si>
    <t>RA</t>
  </si>
  <si>
    <t>RM</t>
  </si>
  <si>
    <t>RS</t>
  </si>
  <si>
    <t>RB</t>
  </si>
  <si>
    <t>RH</t>
  </si>
  <si>
    <t>RL</t>
  </si>
  <si>
    <t>mois</t>
  </si>
  <si>
    <t>value</t>
  </si>
  <si>
    <t>growth</t>
  </si>
  <si>
    <t>MidCap</t>
  </si>
  <si>
    <t>SmallCap</t>
  </si>
  <si>
    <t>European stock</t>
  </si>
  <si>
    <t>temps</t>
  </si>
  <si>
    <t>cours boursier</t>
  </si>
  <si>
    <t>indice de marché</t>
  </si>
  <si>
    <t>B-A spread €</t>
  </si>
  <si>
    <t>Actif</t>
  </si>
  <si>
    <t>sans risque</t>
  </si>
  <si>
    <t>Rendement</t>
  </si>
  <si>
    <t>Volatilité</t>
  </si>
  <si>
    <t>scénario A1</t>
  </si>
  <si>
    <t>scénario A2</t>
  </si>
  <si>
    <t>scénario B1</t>
  </si>
  <si>
    <t>scénario B2</t>
  </si>
  <si>
    <t>RA-Rf</t>
  </si>
  <si>
    <t>RM-Rf</t>
  </si>
  <si>
    <t>RSMB</t>
  </si>
  <si>
    <t>RHML</t>
  </si>
  <si>
    <t>beta(RM-Rf)</t>
  </si>
  <si>
    <t>beta SMB</t>
  </si>
  <si>
    <t>beta HML</t>
  </si>
  <si>
    <t>E(RA)</t>
  </si>
  <si>
    <t>moyenne</t>
  </si>
  <si>
    <t xml:space="preserve">Le portefeuille passif de référence a un rendement mensuel de </t>
  </si>
  <si>
    <t>pour un rendement réalise moyen de 1,2%</t>
  </si>
  <si>
    <t>Ainsi le fonds Magellan semble avoir mal performé</t>
  </si>
  <si>
    <t>Cependant, la méthodologie requiert que le benchmark explique au mieux l'exposition du fonds aux différents facteurs de risque</t>
  </si>
  <si>
    <t>de valeurs de croissance</t>
  </si>
  <si>
    <t>indice1</t>
  </si>
  <si>
    <t>d'actions de moyennes et petites capitalisation</t>
  </si>
  <si>
    <t>indices 2 et 3</t>
  </si>
  <si>
    <t>d'actions européennes</t>
  </si>
  <si>
    <t>indice 4</t>
  </si>
  <si>
    <t>moyennes</t>
  </si>
  <si>
    <t xml:space="preserve">on trouve </t>
  </si>
  <si>
    <t>beta_i1</t>
  </si>
  <si>
    <t>beta_i2</t>
  </si>
  <si>
    <t>beta_i3</t>
  </si>
  <si>
    <t>beta_i4</t>
  </si>
  <si>
    <t>Rendement théorique</t>
  </si>
  <si>
    <t>Ri</t>
  </si>
  <si>
    <t>rendement anormal</t>
  </si>
  <si>
    <t>rendement anormaux cumule</t>
  </si>
  <si>
    <t>les acteurs financiers ont anticipé la bonne nouvelle en achetant l'actif avant la hausse des cours. Puis révision après un optimisme trop important!</t>
  </si>
  <si>
    <t>PORTEFEUILLE</t>
  </si>
  <si>
    <t>poids A</t>
  </si>
  <si>
    <t>poids B</t>
  </si>
  <si>
    <t>rendement</t>
  </si>
  <si>
    <t>ecart-type</t>
  </si>
  <si>
    <t>rendement-rf/ecart-type</t>
  </si>
  <si>
    <t>Il s'agit du portefeuille 13= c'est le portefeuille optimal</t>
  </si>
  <si>
    <t>X=84,34%</t>
  </si>
  <si>
    <t>15,66% dans l'actif sans risque</t>
  </si>
  <si>
    <t>le meilleur scénario est celui qui domine l'autre en termes de nombre de prévisions et corrélation moyenne entre les prévisions et les réalisations</t>
  </si>
  <si>
    <t>rho</t>
  </si>
  <si>
    <t>D</t>
  </si>
  <si>
    <t>Marché</t>
  </si>
  <si>
    <t>Sans risque</t>
  </si>
  <si>
    <t>actif</t>
  </si>
  <si>
    <t>rendement attendu</t>
  </si>
  <si>
    <t>bêta</t>
  </si>
  <si>
    <t>Proportion</t>
  </si>
  <si>
    <t>rendement observé</t>
  </si>
  <si>
    <t>beta du portefeuille</t>
  </si>
  <si>
    <t>Rp</t>
  </si>
  <si>
    <t>cette performance est à comparer au rendement théorique du fonds</t>
  </si>
  <si>
    <t>on s'attend donc à une perte de rendement de 5,091%</t>
  </si>
  <si>
    <t>si on prend en compte la dynamique de marché</t>
  </si>
  <si>
    <t>nouvelles proportions</t>
  </si>
  <si>
    <t>tout en étant positivement lié au marché, on atténue ses variations</t>
  </si>
  <si>
    <t xml:space="preserve">amélioration de </t>
  </si>
  <si>
    <t>Temps</t>
  </si>
  <si>
    <t>le ratio de Sharpe est dans ce cas une bonne mesure</t>
  </si>
  <si>
    <t>actif risqué</t>
  </si>
  <si>
    <t>M</t>
  </si>
  <si>
    <t>rendement observé %</t>
  </si>
  <si>
    <t>Profils de rendement et de risque</t>
  </si>
  <si>
    <t>variance des rendements</t>
  </si>
  <si>
    <t>Sharpe</t>
  </si>
  <si>
    <t>un investisseur rationnel choisira l'actif B</t>
  </si>
  <si>
    <t>évaluation risque systématique</t>
  </si>
  <si>
    <t>bêta A</t>
  </si>
  <si>
    <t>delta Ri/delta RM</t>
  </si>
  <si>
    <t>bêta B</t>
  </si>
  <si>
    <t>bêta M</t>
  </si>
  <si>
    <t>évaluation rendement excédentaire</t>
  </si>
  <si>
    <t>application de la SML</t>
  </si>
  <si>
    <t>pour le titre B</t>
  </si>
  <si>
    <t>son ratio de Treynor est calculé à partir du ratio titre A</t>
  </si>
  <si>
    <t xml:space="preserve">Actif </t>
  </si>
  <si>
    <t>Pf diversifié</t>
  </si>
  <si>
    <t>FondsA</t>
  </si>
  <si>
    <t>FondsB</t>
  </si>
  <si>
    <t>beta</t>
  </si>
  <si>
    <t>Ri-Rf</t>
  </si>
  <si>
    <t>Treynor</t>
  </si>
  <si>
    <t>à noter RM=7%</t>
  </si>
  <si>
    <t>Performance anormale de A et de B</t>
  </si>
  <si>
    <t>alpha de Jensen A</t>
  </si>
  <si>
    <t>alpha de Jensen B</t>
  </si>
  <si>
    <t>rendement = rendement donné par le CAPM</t>
  </si>
  <si>
    <t xml:space="preserve">temps </t>
  </si>
  <si>
    <t>CAC40</t>
  </si>
  <si>
    <t>X</t>
  </si>
  <si>
    <t>Y</t>
  </si>
  <si>
    <t>Z</t>
  </si>
  <si>
    <t>S&amp;P500</t>
  </si>
  <si>
    <t>Ei</t>
  </si>
  <si>
    <t>sigma</t>
  </si>
  <si>
    <t>cov (Ri,RM)</t>
  </si>
  <si>
    <t>rendement CAPM</t>
  </si>
  <si>
    <t>sharpe</t>
  </si>
  <si>
    <t>l'action C et le fonds Y offrent le meilleur rendement par unité de risque total</t>
  </si>
  <si>
    <t xml:space="preserve">notons qu'à travers ce ratio on considère le prix du risque total dont une partie est diversifiable </t>
  </si>
  <si>
    <t>le fonds Z offre le meilleur compromis rendement risque systématique</t>
  </si>
  <si>
    <t>l'action C diminue le niveau de risque du marché</t>
  </si>
  <si>
    <t>Alpha de Jensen</t>
  </si>
  <si>
    <t>rendement inférieur à ce qui était attendu par le CAPM</t>
  </si>
  <si>
    <t>rendement supérieur</t>
  </si>
  <si>
    <t>GESTIONNAIRE 2</t>
  </si>
  <si>
    <t>on calcule le Treynor</t>
  </si>
  <si>
    <t>B et C sont sous évaluées: on les ajoute dans le portefeuille</t>
  </si>
  <si>
    <t>Flux</t>
  </si>
  <si>
    <t>TRI</t>
  </si>
  <si>
    <t>valeur de réserve</t>
  </si>
  <si>
    <t>RP-RL</t>
  </si>
  <si>
    <t>risque</t>
  </si>
  <si>
    <t>SORTINO</t>
  </si>
  <si>
    <t>Risque</t>
  </si>
  <si>
    <t>Benchmark</t>
  </si>
  <si>
    <t>ratio de sharpe</t>
  </si>
  <si>
    <t>le fonds B offre une meilleure rémunération</t>
  </si>
  <si>
    <t>différence</t>
  </si>
  <si>
    <t>A*</t>
  </si>
  <si>
    <t>B*</t>
  </si>
  <si>
    <t>0,15x=0,04</t>
  </si>
  <si>
    <t>0,09x=0,04</t>
  </si>
  <si>
    <t>proportion</t>
  </si>
  <si>
    <t>beta portefeuille</t>
  </si>
  <si>
    <t>risque systématique</t>
  </si>
  <si>
    <t>Magellan</t>
  </si>
  <si>
    <t>supérieur à 1 donc fonds agressif qui amplifie les mouvements du marché</t>
  </si>
  <si>
    <t>impact de l'allocation tactique:</t>
  </si>
  <si>
    <t>pour le titre A (dont les rendements observés = rendements théoriques)</t>
  </si>
  <si>
    <t>On cherche la partie risquée de l'investissement à deux fonds</t>
  </si>
  <si>
    <t>le prix du risque total est maximisé pour Y. Il constituerait la partie risquée optimale de ce pf.</t>
  </si>
  <si>
    <t>Pour investir dans ce fonds l'investisseur définit une valeur de reserve égale à la renta normale du secteur</t>
  </si>
  <si>
    <t>L'attractivité de ce fonds doit donc etre calculée par rapport au gain au-delà du taux de rendement normal du secteur et ce par unité de risque de perte en deçà du taux de rentabilité minimum</t>
  </si>
  <si>
    <t>le ratio de sortino est un bon indicateur.</t>
  </si>
  <si>
    <t>la renta en excès de la valeur de réserve est</t>
  </si>
  <si>
    <t>rendement théorique</t>
  </si>
  <si>
    <t>L'affirmation tend à penser que le fonds Magellan est comparé au Trustees et que le fonds Trustees sert de portefeuille passif de référence pour le fonds Magellan.</t>
  </si>
  <si>
    <t>L'évaluation de la performance dépend du modèle utilisé, représentatif du style d'investissement</t>
  </si>
  <si>
    <t>L'analyse de la performance du fonds Magellan devrait amener à comparer le rendement de ce fonds à celui d'un fonds passif constitué</t>
  </si>
  <si>
    <t>Les betas_i ont des valeurs positives ou nulles (pas de ventes à découvert) et leur somme =1</t>
  </si>
  <si>
    <t>Travail sur les rendements moyens des Indices représentatifs</t>
  </si>
  <si>
    <t>On sait que beta_i3 vaut 18% et que beta_i4 vaut 4%</t>
  </si>
  <si>
    <t>Rentabilité du portefeuille passif de référence</t>
  </si>
  <si>
    <t>Le rendement de 1,2% est donc bon. La part de rendement spécifique liée aux décisions du manager du fonds peut être inférée</t>
  </si>
  <si>
    <t>Performance excédentaire par rapport à une stratégie passive calquée sur les mêmes critères</t>
  </si>
  <si>
    <t>L'application du MEDAF Ri=Rf+betai(RM-Rf) nous livre la série des rentabilités théoriques pour les jours de la fenêtre d'evenement</t>
  </si>
  <si>
    <t>Le B-A mesure la marge que se prend le MM qui se rémunère notamment pour le risque de sélection adverse. Plus l'asymétrie informationnelle est forte, plus la fourchette est importante</t>
  </si>
  <si>
    <t>On recourt au BA spread pour estimer l'asymétrie d'information</t>
  </si>
  <si>
    <t>Asymétrie d'information forte avant l'événement = ceux qui agissent ont une information privée =&gt; inefficience au sens fort?</t>
  </si>
  <si>
    <t>Pour déterminer la CML on cherche le portefeuille qui maximise la pente Rp-Rf/sigma p</t>
  </si>
  <si>
    <t>La CML est la droite liant ce portefeuille à l'actif sans risque</t>
  </si>
  <si>
    <t>Si l'objectif de risque est limité à 7% on cherche la proportion à investir dans l'actif risqué (portefeuille 13) tel que 7%=X*8,3%</t>
  </si>
  <si>
    <t xml:space="preserve">Cela donne un rendement potentiel de </t>
  </si>
  <si>
    <t>Les prévisions les plus justes sont celles du manager 1</t>
  </si>
  <si>
    <t>on est amenés à minimiser l'exposition du fonds passif au marché  en augmentant la part d'actifs défensifs pouvant atténuer la récession.</t>
  </si>
  <si>
    <t>le risque systématique du fonds s'élève maintenant à</t>
  </si>
  <si>
    <t>Le fonds B offre une meilleure rémunération par unité de risque systématique relativement à A ou au pf diversifé</t>
  </si>
  <si>
    <t xml:space="preserve">Le fonds B est meilleur en terme de alpha </t>
  </si>
  <si>
    <t>On compare les différents fonds selon leur ratio de sharpe</t>
  </si>
  <si>
    <t>On calcule la contribution du fonds au rendement et au risque du fonds passif</t>
  </si>
  <si>
    <t>La détermination d'achat/vente d'un actif suppose le calcul de sous évaluation ou sur évaluation avec le alpha de Jensen</t>
  </si>
  <si>
    <t>La rentabilité excédentaire par unité de risque est de l'ordre de 11,77%</t>
  </si>
  <si>
    <t>Ce n'est pas une bonne opportunité d'investissement (&lt;15%)</t>
  </si>
  <si>
    <t>Le rendement d'un portefeuille réparti entre le portefeuille de référence et l'actif sans risque de même risque que le fonds A correspond au rendement théorique d'un portefeuille de risque 15% à l'équilibre.</t>
  </si>
  <si>
    <t>Le fait de travailler à equilibre fige la valeur du coefficient de corrélation à 1</t>
  </si>
  <si>
    <t>La différence entre le rendement observé de chaque actif et son rendement théorique</t>
  </si>
  <si>
    <t>A l'équilibre, les deux fonds offrent un rendement supérieur à toute combinaison d'un fonds risqué et non risqué, de même risque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</si>
</sst>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0"/>
    <numFmt numFmtId="166" formatCode="0.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3" xfId="0" applyBorder="1" applyAlignment="1">
      <alignment horizontal="center"/>
    </xf>
    <xf numFmtId="0" fontId="0" fillId="2" borderId="0" xfId="0" applyFill="1"/>
    <xf numFmtId="9" fontId="0" fillId="0" borderId="0" xfId="0" applyNumberFormat="1"/>
    <xf numFmtId="164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65" fontId="0" fillId="0" borderId="0" xfId="0" applyNumberFormat="1"/>
    <xf numFmtId="9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14" fontId="0" fillId="0" borderId="15" xfId="0" applyNumberFormat="1" applyBorder="1"/>
    <xf numFmtId="9" fontId="0" fillId="2" borderId="4" xfId="0" applyNumberFormat="1" applyFill="1" applyBorder="1"/>
    <xf numFmtId="14" fontId="0" fillId="0" borderId="16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Border="1"/>
    <xf numFmtId="0" fontId="0" fillId="0" borderId="12" xfId="0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9" fontId="0" fillId="2" borderId="6" xfId="0" applyNumberFormat="1" applyFill="1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0" xfId="0" applyFill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0" borderId="0" xfId="0" applyNumberFormat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0" xfId="0" applyNumberFormat="1"/>
    <xf numFmtId="167" fontId="0" fillId="0" borderId="0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167" fontId="0" fillId="2" borderId="0" xfId="0" applyNumberFormat="1" applyFill="1"/>
    <xf numFmtId="0" fontId="0" fillId="0" borderId="0" xfId="0" applyFill="1"/>
    <xf numFmtId="10" fontId="0" fillId="2" borderId="0" xfId="0" applyNumberFormat="1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4" xfId="0" applyNumberFormat="1" applyFill="1" applyBorder="1"/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RAC</c:v>
          </c:tx>
          <c:marker>
            <c:symbol val="none"/>
          </c:marker>
          <c:cat>
            <c:numRef>
              <c:f>'ex6'!$A$11:$A$19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'ex6'!$H$11:$H$19</c:f>
              <c:numCache>
                <c:formatCode>General</c:formatCode>
                <c:ptCount val="9"/>
                <c:pt idx="0">
                  <c:v>1.3081718181818183E-2</c:v>
                </c:pt>
                <c:pt idx="1">
                  <c:v>1.621299073083779E-2</c:v>
                </c:pt>
                <c:pt idx="2">
                  <c:v>1.5321616853595791E-2</c:v>
                </c:pt>
                <c:pt idx="3">
                  <c:v>2.0676868862139288E-2</c:v>
                </c:pt>
                <c:pt idx="4">
                  <c:v>2.2205352478257046E-2</c:v>
                </c:pt>
                <c:pt idx="5">
                  <c:v>1.9161671120938976E-2</c:v>
                </c:pt>
                <c:pt idx="6">
                  <c:v>1.7649474445684404E-2</c:v>
                </c:pt>
                <c:pt idx="7">
                  <c:v>1.5176697470226893E-2</c:v>
                </c:pt>
                <c:pt idx="8">
                  <c:v>1.2071974974078973E-2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2192"/>
        <c:axId val="173033728"/>
      </c:lineChart>
      <c:catAx>
        <c:axId val="1730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033728"/>
        <c:crosses val="autoZero"/>
        <c:auto val="1"/>
        <c:lblAlgn val="ctr"/>
        <c:lblOffset val="100"/>
        <c:noMultiLvlLbl val="0"/>
      </c:catAx>
      <c:valAx>
        <c:axId val="1730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44613323715811E-2"/>
          <c:y val="5.5289682511133344E-2"/>
          <c:w val="0.72626254764460008"/>
          <c:h val="0.8348316870148277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'ex6'!$A$26:$A$34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'ex6'!$B$26:$B$34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30</c:v>
                </c:pt>
                <c:pt idx="6">
                  <c:v>29</c:v>
                </c:pt>
                <c:pt idx="7">
                  <c:v>25</c:v>
                </c:pt>
                <c:pt idx="8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2400"/>
        <c:axId val="173064192"/>
      </c:lineChart>
      <c:catAx>
        <c:axId val="1730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064192"/>
        <c:crosses val="autoZero"/>
        <c:auto val="1"/>
        <c:lblAlgn val="ctr"/>
        <c:lblOffset val="100"/>
        <c:noMultiLvlLbl val="0"/>
      </c:catAx>
      <c:valAx>
        <c:axId val="173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13298337707846E-2"/>
          <c:y val="7.4548702245552642E-2"/>
          <c:w val="0.67427559055118214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'ex7'!$M$4:$M$21</c:f>
              <c:numCache>
                <c:formatCode>0.000</c:formatCode>
                <c:ptCount val="18"/>
                <c:pt idx="0">
                  <c:v>0.24619707553096565</c:v>
                </c:pt>
                <c:pt idx="1">
                  <c:v>0.23041701326073996</c:v>
                </c:pt>
                <c:pt idx="2">
                  <c:v>0.2147673159491453</c:v>
                </c:pt>
                <c:pt idx="3">
                  <c:v>0.19927869931329839</c:v>
                </c:pt>
                <c:pt idx="4">
                  <c:v>0.18399184764548676</c:v>
                </c:pt>
                <c:pt idx="5">
                  <c:v>0.16896153408394468</c:v>
                </c:pt>
                <c:pt idx="6">
                  <c:v>0.15426276284314375</c:v>
                </c:pt>
                <c:pt idx="7">
                  <c:v>0.14000000000000001</c:v>
                </c:pt>
                <c:pt idx="8">
                  <c:v>0.12632101962856382</c:v>
                </c:pt>
                <c:pt idx="9">
                  <c:v>0.11343720729989788</c:v>
                </c:pt>
                <c:pt idx="10">
                  <c:v>0.10165136496870074</c:v>
                </c:pt>
                <c:pt idx="11">
                  <c:v>9.1389277270366914E-2</c:v>
                </c:pt>
                <c:pt idx="12">
                  <c:v>8.3216584885466197E-2</c:v>
                </c:pt>
                <c:pt idx="13">
                  <c:v>7.7794601355106907E-2</c:v>
                </c:pt>
                <c:pt idx="14">
                  <c:v>7.5716576784743778E-2</c:v>
                </c:pt>
                <c:pt idx="15">
                  <c:v>7.7252831663311858E-2</c:v>
                </c:pt>
                <c:pt idx="16">
                  <c:v>8.2200973230248303E-2</c:v>
                </c:pt>
                <c:pt idx="17">
                  <c:v>8.9999999999999983E-2</c:v>
                </c:pt>
              </c:numCache>
            </c:numRef>
          </c:xVal>
          <c:yVal>
            <c:numRef>
              <c:f>'ex7'!$L$4:$L$21</c:f>
              <c:numCache>
                <c:formatCode>General</c:formatCode>
                <c:ptCount val="18"/>
                <c:pt idx="0">
                  <c:v>0.28300000000000003</c:v>
                </c:pt>
                <c:pt idx="1">
                  <c:v>0.27400000000000002</c:v>
                </c:pt>
                <c:pt idx="2">
                  <c:v>0.26500000000000001</c:v>
                </c:pt>
                <c:pt idx="3">
                  <c:v>0.25600000000000001</c:v>
                </c:pt>
                <c:pt idx="4">
                  <c:v>0.24700000000000003</c:v>
                </c:pt>
                <c:pt idx="5">
                  <c:v>0.23800000000000002</c:v>
                </c:pt>
                <c:pt idx="6">
                  <c:v>0.22900000000000001</c:v>
                </c:pt>
                <c:pt idx="7">
                  <c:v>0.22</c:v>
                </c:pt>
                <c:pt idx="8">
                  <c:v>0.21100000000000002</c:v>
                </c:pt>
                <c:pt idx="9">
                  <c:v>0.20200000000000001</c:v>
                </c:pt>
                <c:pt idx="10">
                  <c:v>0.193</c:v>
                </c:pt>
                <c:pt idx="11">
                  <c:v>0.184</c:v>
                </c:pt>
                <c:pt idx="12">
                  <c:v>0.17499999999999999</c:v>
                </c:pt>
                <c:pt idx="13">
                  <c:v>0.16600000000000001</c:v>
                </c:pt>
                <c:pt idx="14">
                  <c:v>0.15700000000000003</c:v>
                </c:pt>
                <c:pt idx="15">
                  <c:v>0.14800000000000002</c:v>
                </c:pt>
                <c:pt idx="16">
                  <c:v>0.13900000000000001</c:v>
                </c:pt>
                <c:pt idx="17">
                  <c:v>0.12999999999999998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0832"/>
        <c:axId val="174442368"/>
      </c:scatterChart>
      <c:valAx>
        <c:axId val="1744408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74442368"/>
        <c:crosses val="autoZero"/>
        <c:crossBetween val="midCat"/>
      </c:valAx>
      <c:valAx>
        <c:axId val="174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4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136071</xdr:colOff>
      <xdr:row>0</xdr:row>
      <xdr:rowOff>149678</xdr:rowOff>
    </xdr:from>
    <xdr:to>
      <xdr:col>17</xdr:col>
      <xdr:colOff>457540</xdr:colOff>
      <xdr:row>4</xdr:row>
      <xdr:rowOff>110558</xdr:rowOff>
    </xdr:to>
    <xdr:sp macro="" textlink="">
      <xdr:nvSpPr>
        <xdr:cNvPr id="2" name="ZoneTexte 1"/>
        <xdr:cNvSpPr txBox="1"/>
      </xdr:nvSpPr>
      <xdr:spPr>
        <a:xfrm>
          <a:off x="8518071" y="149678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13</xdr:col>
      <xdr:colOff>321469</xdr:colOff>
      <xdr:row>28</xdr:row>
      <xdr:rowOff>178594</xdr:rowOff>
    </xdr:to>
    <xdr:sp macro="" textlink="">
      <xdr:nvSpPr>
        <xdr:cNvPr id="2" name="ZoneTexte 1"/>
        <xdr:cNvSpPr txBox="1"/>
      </xdr:nvSpPr>
      <xdr:spPr>
        <a:xfrm>
          <a:off x="6055179" y="47625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321469</xdr:colOff>
      <xdr:row>4</xdr:row>
      <xdr:rowOff>146844</xdr:rowOff>
    </xdr:to>
    <xdr:sp macro="" textlink="">
      <xdr:nvSpPr>
        <xdr:cNvPr id="2" name="ZoneTexte 1"/>
        <xdr:cNvSpPr txBox="1"/>
      </xdr:nvSpPr>
      <xdr:spPr>
        <a:xfrm>
          <a:off x="11858625" y="1905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36739</xdr:colOff>
      <xdr:row>4</xdr:row>
      <xdr:rowOff>40822</xdr:rowOff>
    </xdr:from>
    <xdr:to>
      <xdr:col>17</xdr:col>
      <xdr:colOff>36739</xdr:colOff>
      <xdr:row>18</xdr:row>
      <xdr:rowOff>130629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435429</xdr:colOff>
      <xdr:row>21</xdr:row>
      <xdr:rowOff>163285</xdr:rowOff>
    </xdr:from>
    <xdr:to>
      <xdr:col>15</xdr:col>
      <xdr:colOff>424544</xdr:colOff>
      <xdr:row>36</xdr:row>
      <xdr:rowOff>44903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0</xdr:row>
      <xdr:rowOff>152400</xdr:rowOff>
    </xdr:from>
    <xdr:to>
      <xdr:col>24</xdr:col>
      <xdr:colOff>569119</xdr:colOff>
      <xdr:row>4</xdr:row>
      <xdr:rowOff>140494</xdr:rowOff>
    </xdr:to>
    <xdr:sp macro="" textlink="">
      <xdr:nvSpPr>
        <xdr:cNvPr id="5" name="ZoneTexte 4"/>
        <xdr:cNvSpPr txBox="1"/>
      </xdr:nvSpPr>
      <xdr:spPr>
        <a:xfrm>
          <a:off x="16516350" y="1524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57150</xdr:rowOff>
    </xdr:from>
    <xdr:to>
      <xdr:col>6</xdr:col>
      <xdr:colOff>276225</xdr:colOff>
      <xdr:row>22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340177</xdr:colOff>
      <xdr:row>0</xdr:row>
      <xdr:rowOff>95249</xdr:rowOff>
    </xdr:from>
    <xdr:to>
      <xdr:col>22</xdr:col>
      <xdr:colOff>661646</xdr:colOff>
      <xdr:row>4</xdr:row>
      <xdr:rowOff>56129</xdr:rowOff>
    </xdr:to>
    <xdr:sp macro="" textlink="">
      <xdr:nvSpPr>
        <xdr:cNvPr id="3" name="ZoneTexte 2"/>
        <xdr:cNvSpPr txBox="1"/>
      </xdr:nvSpPr>
      <xdr:spPr>
        <a:xfrm>
          <a:off x="12872356" y="95249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31750</xdr:rowOff>
    </xdr:from>
    <xdr:to>
      <xdr:col>14</xdr:col>
      <xdr:colOff>575469</xdr:colOff>
      <xdr:row>5</xdr:row>
      <xdr:rowOff>19844</xdr:rowOff>
    </xdr:to>
    <xdr:sp macro="" textlink="">
      <xdr:nvSpPr>
        <xdr:cNvPr id="2" name="ZoneTexte 1"/>
        <xdr:cNvSpPr txBox="1"/>
      </xdr:nvSpPr>
      <xdr:spPr>
        <a:xfrm>
          <a:off x="9350375" y="22225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321469</xdr:colOff>
      <xdr:row>3</xdr:row>
      <xdr:rowOff>164987</xdr:rowOff>
    </xdr:to>
    <xdr:sp macro="" textlink="">
      <xdr:nvSpPr>
        <xdr:cNvPr id="2" name="ZoneTexte 1"/>
        <xdr:cNvSpPr txBox="1"/>
      </xdr:nvSpPr>
      <xdr:spPr>
        <a:xfrm>
          <a:off x="6721929" y="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321469</xdr:colOff>
      <xdr:row>3</xdr:row>
      <xdr:rowOff>178594</xdr:rowOff>
    </xdr:to>
    <xdr:sp macro="" textlink="">
      <xdr:nvSpPr>
        <xdr:cNvPr id="2" name="ZoneTexte 1"/>
        <xdr:cNvSpPr txBox="1"/>
      </xdr:nvSpPr>
      <xdr:spPr>
        <a:xfrm>
          <a:off x="7905750" y="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321469</xdr:colOff>
      <xdr:row>4</xdr:row>
      <xdr:rowOff>178594</xdr:rowOff>
    </xdr:to>
    <xdr:sp macro="" textlink="">
      <xdr:nvSpPr>
        <xdr:cNvPr id="2" name="ZoneTexte 1"/>
        <xdr:cNvSpPr txBox="1"/>
      </xdr:nvSpPr>
      <xdr:spPr>
        <a:xfrm>
          <a:off x="11620500" y="206375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24</xdr:row>
      <xdr:rowOff>0</xdr:rowOff>
    </xdr:from>
    <xdr:to>
      <xdr:col>19</xdr:col>
      <xdr:colOff>321469</xdr:colOff>
      <xdr:row>27</xdr:row>
      <xdr:rowOff>178594</xdr:rowOff>
    </xdr:to>
    <xdr:sp macro="" textlink="">
      <xdr:nvSpPr>
        <xdr:cNvPr id="4" name="ZoneTexte 3"/>
        <xdr:cNvSpPr txBox="1"/>
      </xdr:nvSpPr>
      <xdr:spPr>
        <a:xfrm>
          <a:off x="10246179" y="45720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8"/>
  <sheetViews>
    <sheetView zoomScale="80" zoomScaleNormal="80" workbookViewId="0">
      <selection activeCell="P13" sqref="P13"/>
    </sheetView>
  </sheetViews>
  <sheetFormatPr baseColWidth="10" defaultRowHeight="15" x14ac:dyDescent="0.25"/>
  <cols>
    <col min="3" max="3" width="19.140625" bestFit="1" customWidth="1"/>
  </cols>
  <sheetData>
    <row r="6" spans="3:7" x14ac:dyDescent="0.25">
      <c r="C6" t="s">
        <v>10</v>
      </c>
      <c r="D6" s="3">
        <v>0.25</v>
      </c>
    </row>
    <row r="7" spans="3:7" x14ac:dyDescent="0.25">
      <c r="C7" t="s">
        <v>11</v>
      </c>
      <c r="D7" s="3">
        <v>0.1</v>
      </c>
    </row>
    <row r="8" spans="3:7" x14ac:dyDescent="0.25">
      <c r="C8" t="s">
        <v>12</v>
      </c>
      <c r="D8">
        <v>-0.1</v>
      </c>
      <c r="F8" t="s">
        <v>18</v>
      </c>
      <c r="G8">
        <f>D8/D10</f>
        <v>-0.52631578947368418</v>
      </c>
    </row>
    <row r="9" spans="3:7" x14ac:dyDescent="0.25">
      <c r="C9" t="s">
        <v>13</v>
      </c>
      <c r="D9">
        <v>1.3</v>
      </c>
      <c r="F9" t="s">
        <v>19</v>
      </c>
      <c r="G9">
        <f>D9/D10</f>
        <v>6.8421052631578947</v>
      </c>
    </row>
    <row r="10" spans="3:7" x14ac:dyDescent="0.25">
      <c r="C10" t="s">
        <v>14</v>
      </c>
      <c r="D10" s="3">
        <v>0.19</v>
      </c>
    </row>
    <row r="12" spans="3:7" x14ac:dyDescent="0.25">
      <c r="C12" s="2" t="s">
        <v>15</v>
      </c>
      <c r="D12" s="13">
        <v>0.66666666666693164</v>
      </c>
    </row>
    <row r="13" spans="3:7" x14ac:dyDescent="0.25">
      <c r="C13" s="2" t="s">
        <v>16</v>
      </c>
      <c r="D13" s="13">
        <f>1-D12</f>
        <v>0.33333333333306836</v>
      </c>
    </row>
    <row r="15" spans="3:7" x14ac:dyDescent="0.25">
      <c r="C15" t="s">
        <v>17</v>
      </c>
      <c r="D15" s="3">
        <f>D12*D6+D13*D7</f>
        <v>0.20000000000003976</v>
      </c>
    </row>
    <row r="17" spans="3:4" x14ac:dyDescent="0.25">
      <c r="C17" s="2" t="s">
        <v>183</v>
      </c>
      <c r="D17" s="2">
        <f>D12*G8+D13*G9</f>
        <v>1.9298245614015566</v>
      </c>
    </row>
    <row r="18" spans="3:4" x14ac:dyDescent="0.25">
      <c r="C18" s="2" t="s">
        <v>184</v>
      </c>
      <c r="D18" s="2">
        <f>SQRT((D17^2)*D10)</f>
        <v>0.84119102419120884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70" zoomScaleNormal="70" workbookViewId="0">
      <selection activeCell="I1" sqref="I1"/>
    </sheetView>
  </sheetViews>
  <sheetFormatPr baseColWidth="10" defaultRowHeight="15" x14ac:dyDescent="0.25"/>
  <cols>
    <col min="2" max="2" width="20.7109375" bestFit="1" customWidth="1"/>
  </cols>
  <sheetData>
    <row r="1" spans="1:4" ht="15.75" thickBot="1" x14ac:dyDescent="0.3"/>
    <row r="2" spans="1:4" x14ac:dyDescent="0.25">
      <c r="A2" s="90" t="s">
        <v>116</v>
      </c>
      <c r="B2" s="91" t="s">
        <v>0</v>
      </c>
      <c r="C2" s="91" t="s">
        <v>1</v>
      </c>
      <c r="D2" s="92" t="s">
        <v>101</v>
      </c>
    </row>
    <row r="3" spans="1:4" x14ac:dyDescent="0.25">
      <c r="A3" s="5">
        <v>1</v>
      </c>
      <c r="B3" s="6">
        <v>0.5</v>
      </c>
      <c r="C3" s="6">
        <v>0.3</v>
      </c>
      <c r="D3" s="7">
        <v>0.185</v>
      </c>
    </row>
    <row r="4" spans="1:4" x14ac:dyDescent="0.25">
      <c r="A4" s="5">
        <v>2</v>
      </c>
      <c r="B4" s="6">
        <v>0.25</v>
      </c>
      <c r="C4" s="6">
        <v>0.18</v>
      </c>
      <c r="D4" s="7">
        <v>0.28000000000000003</v>
      </c>
    </row>
    <row r="5" spans="1:4" x14ac:dyDescent="0.25">
      <c r="A5" s="5">
        <v>3</v>
      </c>
      <c r="B5" s="6">
        <v>0.05</v>
      </c>
      <c r="C5" s="6">
        <v>0.13</v>
      </c>
      <c r="D5" s="7">
        <v>0.1</v>
      </c>
    </row>
    <row r="6" spans="1:4" x14ac:dyDescent="0.25">
      <c r="A6" s="5">
        <v>4</v>
      </c>
      <c r="B6" s="6">
        <v>0.1</v>
      </c>
      <c r="C6" s="6">
        <v>0.12</v>
      </c>
      <c r="D6" s="7">
        <v>0.14000000000000001</v>
      </c>
    </row>
    <row r="7" spans="1:4" ht="15.75" thickBot="1" x14ac:dyDescent="0.3">
      <c r="A7" s="8">
        <v>5</v>
      </c>
      <c r="B7" s="51">
        <v>1E-3</v>
      </c>
      <c r="C7" s="51">
        <v>0.04</v>
      </c>
      <c r="D7" s="52">
        <v>0.09</v>
      </c>
    </row>
    <row r="9" spans="1:4" x14ac:dyDescent="0.25">
      <c r="A9" t="s">
        <v>117</v>
      </c>
    </row>
    <row r="11" spans="1:4" x14ac:dyDescent="0.25">
      <c r="A11" t="s">
        <v>121</v>
      </c>
    </row>
    <row r="12" spans="1:4" x14ac:dyDescent="0.25">
      <c r="A12" t="s">
        <v>118</v>
      </c>
      <c r="B12" t="s">
        <v>120</v>
      </c>
      <c r="C12" t="s">
        <v>122</v>
      </c>
    </row>
    <row r="13" spans="1:4" x14ac:dyDescent="0.25">
      <c r="A13" t="s">
        <v>0</v>
      </c>
      <c r="B13">
        <f>AVERAGE(B3:B7)</f>
        <v>0.1802</v>
      </c>
      <c r="C13">
        <f>VARP(B3:B7)</f>
        <v>3.2528159999999993E-2</v>
      </c>
    </row>
    <row r="14" spans="1:4" x14ac:dyDescent="0.25">
      <c r="A14" t="s">
        <v>1</v>
      </c>
      <c r="B14">
        <f>AVERAGE(C3:C7)</f>
        <v>0.154</v>
      </c>
      <c r="C14">
        <f>VARP(C3:C7)</f>
        <v>7.3439999999999998E-3</v>
      </c>
    </row>
    <row r="15" spans="1:4" x14ac:dyDescent="0.25">
      <c r="A15" t="s">
        <v>119</v>
      </c>
      <c r="B15">
        <f>AVERAGE(D3:D7)</f>
        <v>0.159</v>
      </c>
      <c r="C15">
        <f>VARP(D3:D7)</f>
        <v>4.7840000000000018E-3</v>
      </c>
    </row>
    <row r="17" spans="1:2" x14ac:dyDescent="0.25">
      <c r="A17" t="s">
        <v>118</v>
      </c>
      <c r="B17" t="s">
        <v>123</v>
      </c>
    </row>
    <row r="18" spans="1:2" x14ac:dyDescent="0.25">
      <c r="A18" t="s">
        <v>0</v>
      </c>
      <c r="B18">
        <f>(B13-4.5%)/SQRT(C13)</f>
        <v>0.7496299728448873</v>
      </c>
    </row>
    <row r="19" spans="1:2" x14ac:dyDescent="0.25">
      <c r="A19" t="s">
        <v>1</v>
      </c>
      <c r="B19">
        <f t="shared" ref="B19" si="0">(B14-4.5%)/SQRT(C14)</f>
        <v>1.2719210763254423</v>
      </c>
    </row>
    <row r="21" spans="1:2" x14ac:dyDescent="0.25">
      <c r="A21" t="s">
        <v>124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70" zoomScaleNormal="70" workbookViewId="0">
      <selection activeCell="J1" sqref="J1"/>
    </sheetView>
  </sheetViews>
  <sheetFormatPr baseColWidth="10" defaultRowHeight="15" x14ac:dyDescent="0.25"/>
  <cols>
    <col min="1" max="1" width="18.7109375" customWidth="1"/>
    <col min="2" max="2" width="19.7109375" customWidth="1"/>
  </cols>
  <sheetData>
    <row r="2" spans="1:7" x14ac:dyDescent="0.25">
      <c r="A2" s="15" t="s">
        <v>125</v>
      </c>
    </row>
    <row r="3" spans="1:7" x14ac:dyDescent="0.25">
      <c r="A3" t="s">
        <v>126</v>
      </c>
      <c r="B3" t="s">
        <v>127</v>
      </c>
      <c r="C3">
        <f>0.05/0.07</f>
        <v>0.7142857142857143</v>
      </c>
    </row>
    <row r="4" spans="1:7" x14ac:dyDescent="0.25">
      <c r="A4" t="s">
        <v>128</v>
      </c>
      <c r="C4">
        <f>0.1/0.07</f>
        <v>1.4285714285714286</v>
      </c>
    </row>
    <row r="5" spans="1:7" x14ac:dyDescent="0.25">
      <c r="A5" t="s">
        <v>129</v>
      </c>
      <c r="C5">
        <f>1</f>
        <v>1</v>
      </c>
    </row>
    <row r="9" spans="1:7" x14ac:dyDescent="0.25">
      <c r="A9" s="15" t="s">
        <v>130</v>
      </c>
      <c r="D9" t="s">
        <v>141</v>
      </c>
    </row>
    <row r="10" spans="1:7" x14ac:dyDescent="0.25">
      <c r="A10" s="15" t="s">
        <v>188</v>
      </c>
      <c r="G10" t="s">
        <v>131</v>
      </c>
    </row>
    <row r="11" spans="1:7" x14ac:dyDescent="0.25">
      <c r="A11" t="s">
        <v>35</v>
      </c>
      <c r="B11">
        <f>0.02+0.714*(0.07-0.02)</f>
        <v>5.57E-2</v>
      </c>
    </row>
    <row r="12" spans="1:7" x14ac:dyDescent="0.25">
      <c r="A12" t="s">
        <v>59</v>
      </c>
      <c r="B12" s="79">
        <f>B11-2%</f>
        <v>3.5699999999999996E-2</v>
      </c>
    </row>
    <row r="14" spans="1:7" x14ac:dyDescent="0.25">
      <c r="A14" s="15" t="s">
        <v>132</v>
      </c>
      <c r="C14" t="s">
        <v>133</v>
      </c>
    </row>
    <row r="16" spans="1:7" x14ac:dyDescent="0.25">
      <c r="A16" t="s">
        <v>134</v>
      </c>
      <c r="B16" t="s">
        <v>138</v>
      </c>
      <c r="C16" t="s">
        <v>139</v>
      </c>
      <c r="D16" t="s">
        <v>140</v>
      </c>
    </row>
    <row r="17" spans="1:4" x14ac:dyDescent="0.25">
      <c r="A17" t="s">
        <v>135</v>
      </c>
      <c r="B17">
        <v>1</v>
      </c>
      <c r="C17">
        <v>0.05</v>
      </c>
      <c r="D17">
        <f>C17/B17</f>
        <v>0.05</v>
      </c>
    </row>
    <row r="18" spans="1:4" x14ac:dyDescent="0.25">
      <c r="A18" t="s">
        <v>136</v>
      </c>
      <c r="B18">
        <v>0.71399999999999997</v>
      </c>
      <c r="C18">
        <f>0.036</f>
        <v>3.5999999999999997E-2</v>
      </c>
      <c r="D18">
        <f>C18/B18</f>
        <v>5.0420168067226892E-2</v>
      </c>
    </row>
    <row r="19" spans="1:4" x14ac:dyDescent="0.25">
      <c r="A19" t="s">
        <v>137</v>
      </c>
      <c r="B19">
        <v>1.429</v>
      </c>
      <c r="C19">
        <f>D19*B19</f>
        <v>0.11492042016806724</v>
      </c>
      <c r="D19" s="79">
        <f>D18+3%</f>
        <v>8.0420168067226891E-2</v>
      </c>
    </row>
    <row r="22" spans="1:4" x14ac:dyDescent="0.25">
      <c r="B22" t="s">
        <v>216</v>
      </c>
    </row>
    <row r="24" spans="1:4" x14ac:dyDescent="0.25">
      <c r="A24" t="s">
        <v>142</v>
      </c>
    </row>
    <row r="25" spans="1:4" x14ac:dyDescent="0.25">
      <c r="A25" t="s">
        <v>143</v>
      </c>
      <c r="C25">
        <f>0</f>
        <v>0</v>
      </c>
      <c r="D25" t="s">
        <v>145</v>
      </c>
    </row>
    <row r="26" spans="1:4" x14ac:dyDescent="0.25">
      <c r="A26" t="s">
        <v>144</v>
      </c>
      <c r="C26" s="79">
        <f>C19+2%-2%-1.429*5%</f>
        <v>4.3470420168067236E-2</v>
      </c>
    </row>
    <row r="28" spans="1:4" x14ac:dyDescent="0.25">
      <c r="B28" t="s">
        <v>217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60" zoomScaleNormal="60" workbookViewId="0">
      <selection activeCell="O2" sqref="O2"/>
    </sheetView>
  </sheetViews>
  <sheetFormatPr baseColWidth="10" defaultRowHeight="15" x14ac:dyDescent="0.25"/>
  <cols>
    <col min="1" max="1" width="20" customWidth="1"/>
    <col min="6" max="6" width="16.85546875" bestFit="1" customWidth="1"/>
    <col min="8" max="8" width="11.5703125" bestFit="1" customWidth="1"/>
  </cols>
  <sheetData>
    <row r="1" spans="1:11" ht="15.75" thickBot="1" x14ac:dyDescent="0.3"/>
    <row r="2" spans="1:11" x14ac:dyDescent="0.25">
      <c r="A2" s="90" t="s">
        <v>146</v>
      </c>
      <c r="B2" s="91" t="s">
        <v>151</v>
      </c>
      <c r="C2" s="91" t="s">
        <v>147</v>
      </c>
      <c r="D2" s="91" t="s">
        <v>0</v>
      </c>
      <c r="E2" s="91" t="s">
        <v>1</v>
      </c>
      <c r="F2" s="91" t="s">
        <v>2</v>
      </c>
      <c r="G2" s="91" t="s">
        <v>148</v>
      </c>
      <c r="H2" s="91" t="s">
        <v>149</v>
      </c>
      <c r="I2" s="92" t="s">
        <v>150</v>
      </c>
    </row>
    <row r="3" spans="1:11" x14ac:dyDescent="0.25">
      <c r="A3" s="5">
        <v>1</v>
      </c>
      <c r="B3" s="6">
        <v>0.16</v>
      </c>
      <c r="C3" s="6">
        <v>0.3</v>
      </c>
      <c r="D3" s="6">
        <v>0.3</v>
      </c>
      <c r="E3" s="6">
        <v>0.3</v>
      </c>
      <c r="F3" s="6">
        <v>0.15</v>
      </c>
      <c r="G3" s="6">
        <v>0.35</v>
      </c>
      <c r="H3" s="6">
        <v>0.3</v>
      </c>
      <c r="I3" s="7">
        <v>0.14000000000000001</v>
      </c>
    </row>
    <row r="4" spans="1:11" x14ac:dyDescent="0.25">
      <c r="A4" s="5">
        <v>2</v>
      </c>
      <c r="B4" s="6">
        <v>0.38</v>
      </c>
      <c r="C4" s="6">
        <v>0.2</v>
      </c>
      <c r="D4" s="6">
        <v>0.38</v>
      </c>
      <c r="E4" s="6">
        <v>0.25</v>
      </c>
      <c r="F4" s="6">
        <v>0.04</v>
      </c>
      <c r="G4" s="6">
        <v>0.14000000000000001</v>
      </c>
      <c r="H4" s="6">
        <v>0.45</v>
      </c>
      <c r="I4" s="7">
        <v>0.13</v>
      </c>
    </row>
    <row r="5" spans="1:11" x14ac:dyDescent="0.25">
      <c r="A5" s="5">
        <v>3</v>
      </c>
      <c r="B5" s="6">
        <v>8.5000000000000006E-2</v>
      </c>
      <c r="C5" s="6">
        <v>0.06</v>
      </c>
      <c r="D5" s="6">
        <v>0.01</v>
      </c>
      <c r="E5" s="6">
        <v>0.1</v>
      </c>
      <c r="F5" s="6">
        <v>0.25</v>
      </c>
      <c r="G5" s="6">
        <v>0.03</v>
      </c>
      <c r="H5" s="6">
        <v>8.9999999999999993E-3</v>
      </c>
      <c r="I5" s="7">
        <v>2E-3</v>
      </c>
    </row>
    <row r="6" spans="1:11" x14ac:dyDescent="0.25">
      <c r="A6" s="5">
        <v>4</v>
      </c>
      <c r="B6" s="6">
        <v>0.1</v>
      </c>
      <c r="C6" s="6">
        <v>7.0000000000000007E-2</v>
      </c>
      <c r="D6" s="6">
        <v>0.06</v>
      </c>
      <c r="E6" s="6">
        <v>0.1</v>
      </c>
      <c r="F6" s="6">
        <v>0.2</v>
      </c>
      <c r="G6" s="6">
        <v>0.08</v>
      </c>
      <c r="H6" s="6">
        <v>0.16</v>
      </c>
      <c r="I6" s="7">
        <v>0.13</v>
      </c>
    </row>
    <row r="7" spans="1:11" ht="15.75" thickBot="1" x14ac:dyDescent="0.3">
      <c r="A7" s="8">
        <v>5</v>
      </c>
      <c r="B7" s="51">
        <v>0.12</v>
      </c>
      <c r="C7" s="51">
        <v>0.11</v>
      </c>
      <c r="D7" s="51">
        <v>2E-3</v>
      </c>
      <c r="E7" s="51">
        <v>0.05</v>
      </c>
      <c r="F7" s="51">
        <v>0.18</v>
      </c>
      <c r="G7" s="51">
        <v>1E-3</v>
      </c>
      <c r="H7" s="51">
        <v>0.49</v>
      </c>
      <c r="I7" s="52">
        <v>0.18</v>
      </c>
    </row>
    <row r="9" spans="1:11" ht="15.75" thickBot="1" x14ac:dyDescent="0.3"/>
    <row r="10" spans="1:11" ht="15.75" thickBot="1" x14ac:dyDescent="0.3">
      <c r="A10" s="98" t="s">
        <v>51</v>
      </c>
      <c r="B10" s="54" t="s">
        <v>152</v>
      </c>
      <c r="C10" s="54" t="s">
        <v>153</v>
      </c>
      <c r="D10" s="54" t="s">
        <v>154</v>
      </c>
      <c r="E10" s="54" t="s">
        <v>138</v>
      </c>
      <c r="F10" s="55" t="s">
        <v>155</v>
      </c>
      <c r="H10" s="104" t="s">
        <v>156</v>
      </c>
      <c r="J10" s="60"/>
      <c r="K10" t="s">
        <v>157</v>
      </c>
    </row>
    <row r="11" spans="1:11" x14ac:dyDescent="0.25">
      <c r="A11" s="99" t="s">
        <v>0</v>
      </c>
      <c r="B11" s="94">
        <f>AVERAGE(D3:D7)</f>
        <v>0.15040000000000001</v>
      </c>
      <c r="C11" s="94">
        <f>SQRT(VARP(D3:D7))</f>
        <v>0.15811590685316892</v>
      </c>
      <c r="D11" s="94">
        <f>COVAR(D3:D7,$B$3:$B$7)</f>
        <v>1.4480400000000001E-2</v>
      </c>
      <c r="E11" s="94">
        <f>D11/VARP($B$3:$B$7)</f>
        <v>1.2309078544712673</v>
      </c>
      <c r="F11" s="95">
        <f>5%+E11*($B$17-5%)</f>
        <v>0.1964780346820808</v>
      </c>
      <c r="H11" s="93">
        <f>(B11-5%)/C11</f>
        <v>0.63497722650532806</v>
      </c>
      <c r="K11" t="s">
        <v>158</v>
      </c>
    </row>
    <row r="12" spans="1:11" x14ac:dyDescent="0.25">
      <c r="A12" s="99" t="s">
        <v>1</v>
      </c>
      <c r="B12" s="94">
        <f>AVERAGE(E3:E7)</f>
        <v>0.16</v>
      </c>
      <c r="C12" s="94">
        <f>SQRT(VARP(E3:E7))</f>
        <v>9.6953597148326576E-2</v>
      </c>
      <c r="D12" s="94">
        <f>COVAR(E3:E7,$B$3:$B$7)</f>
        <v>6.4599999999999987E-3</v>
      </c>
      <c r="E12" s="94">
        <f t="shared" ref="E12:E17" si="0">D12/VARP($B$3:$B$7)</f>
        <v>0.54913294797687806</v>
      </c>
      <c r="F12" s="95">
        <f t="shared" ref="F12:F16" si="1">5%+E12*($B$17-5%)</f>
        <v>0.11534682080924848</v>
      </c>
      <c r="H12" s="93">
        <f t="shared" ref="H12:H16" si="2">(B12-5%)/C12</f>
        <v>1.1345633708846727</v>
      </c>
    </row>
    <row r="13" spans="1:11" x14ac:dyDescent="0.25">
      <c r="A13" s="99" t="s">
        <v>2</v>
      </c>
      <c r="B13" s="94">
        <f>AVERAGE(F3:F7)</f>
        <v>0.16400000000000001</v>
      </c>
      <c r="C13" s="94">
        <f>SQRT(VARP(F3:F7))</f>
        <v>7.0028565600046333E-2</v>
      </c>
      <c r="D13" s="94">
        <f>COVAR(F3:F7,$B$3:$B$7)</f>
        <v>-7.306E-3</v>
      </c>
      <c r="E13" s="94">
        <f t="shared" si="0"/>
        <v>-0.62104726283576961</v>
      </c>
      <c r="F13" s="95">
        <f t="shared" si="1"/>
        <v>-2.3904624277456571E-2</v>
      </c>
      <c r="H13" s="93">
        <f t="shared" si="2"/>
        <v>1.6279071122359898</v>
      </c>
    </row>
    <row r="14" spans="1:11" x14ac:dyDescent="0.25">
      <c r="A14" s="99" t="s">
        <v>148</v>
      </c>
      <c r="B14" s="94">
        <f>AVERAGE(G3:G7)</f>
        <v>0.1202</v>
      </c>
      <c r="C14" s="94">
        <f>SQRT(VARP(G3:G7))</f>
        <v>0.12422624521412533</v>
      </c>
      <c r="D14" s="94">
        <f>COVAR(G3:G7,$B$3:$B$7)</f>
        <v>3.660200000000001E-3</v>
      </c>
      <c r="E14" s="94">
        <f t="shared" si="0"/>
        <v>0.3111356681400882</v>
      </c>
      <c r="F14" s="95">
        <f t="shared" si="1"/>
        <v>8.7025144508670493E-2</v>
      </c>
      <c r="H14" s="93">
        <f t="shared" si="2"/>
        <v>0.56509797812047047</v>
      </c>
    </row>
    <row r="15" spans="1:11" x14ac:dyDescent="0.25">
      <c r="A15" s="99" t="s">
        <v>149</v>
      </c>
      <c r="B15" s="94">
        <f>AVERAGE(H3:H7)</f>
        <v>0.28179999999999999</v>
      </c>
      <c r="C15" s="94">
        <f>SQRT(VARP(H3:H7))</f>
        <v>0.17956881689202053</v>
      </c>
      <c r="D15" s="94">
        <f>COVAR(H3:H7,$B$3:$B$7)</f>
        <v>1.1288800000000002E-2</v>
      </c>
      <c r="E15" s="94">
        <f t="shared" si="0"/>
        <v>0.95960557633457932</v>
      </c>
      <c r="F15" s="95">
        <f t="shared" si="1"/>
        <v>0.16419306358381491</v>
      </c>
      <c r="H15" s="93">
        <f t="shared" si="2"/>
        <v>1.2908700074545096</v>
      </c>
    </row>
    <row r="16" spans="1:11" x14ac:dyDescent="0.25">
      <c r="A16" s="99" t="s">
        <v>150</v>
      </c>
      <c r="B16" s="94">
        <f>AVERAGE(I3:I7)</f>
        <v>0.11640000000000002</v>
      </c>
      <c r="C16" s="94">
        <f>SQRT(VARP(I3:I7))</f>
        <v>6.0098585673874202E-2</v>
      </c>
      <c r="D16" s="94">
        <f>COVAR(I3:I7,$B$3:$B$7)</f>
        <v>1.6424E-3</v>
      </c>
      <c r="E16" s="94">
        <f t="shared" si="0"/>
        <v>0.13961237674260443</v>
      </c>
      <c r="F16" s="95">
        <f t="shared" si="1"/>
        <v>6.6613872832369928E-2</v>
      </c>
      <c r="H16" s="93">
        <f t="shared" si="2"/>
        <v>1.1048512915149205</v>
      </c>
    </row>
    <row r="17" spans="1:11" ht="15.75" thickBot="1" x14ac:dyDescent="0.3">
      <c r="A17" s="100" t="s">
        <v>151</v>
      </c>
      <c r="B17" s="96">
        <f>AVERAGE(B3:B7)</f>
        <v>0.16899999999999998</v>
      </c>
      <c r="C17" s="96">
        <f>SQRT(VARP(B3:B7))</f>
        <v>0.10846197490365003</v>
      </c>
      <c r="D17" s="96">
        <f>COVAR(B3:B7,$B$3:$B$7)</f>
        <v>1.1764E-2</v>
      </c>
      <c r="E17" s="96">
        <f t="shared" si="0"/>
        <v>0.99999999999999911</v>
      </c>
      <c r="F17" s="97"/>
      <c r="H17" s="93"/>
      <c r="K17" t="s">
        <v>159</v>
      </c>
    </row>
    <row r="18" spans="1:11" x14ac:dyDescent="0.25">
      <c r="H18" s="15" t="s">
        <v>140</v>
      </c>
    </row>
    <row r="19" spans="1:11" ht="15.75" thickBot="1" x14ac:dyDescent="0.3">
      <c r="H19" s="93">
        <f t="shared" ref="H19:H24" si="3">(B11-5%)/E11</f>
        <v>8.1565813099085727E-2</v>
      </c>
    </row>
    <row r="20" spans="1:11" ht="15.75" thickBot="1" x14ac:dyDescent="0.3">
      <c r="A20" s="98" t="s">
        <v>51</v>
      </c>
      <c r="B20" s="54" t="s">
        <v>152</v>
      </c>
      <c r="C20" s="54" t="s">
        <v>153</v>
      </c>
      <c r="D20" s="54" t="s">
        <v>154</v>
      </c>
      <c r="E20" s="54" t="s">
        <v>138</v>
      </c>
      <c r="F20" s="55" t="s">
        <v>155</v>
      </c>
      <c r="H20" s="93">
        <f t="shared" si="3"/>
        <v>0.20031578947368442</v>
      </c>
      <c r="K20" t="s">
        <v>160</v>
      </c>
    </row>
    <row r="21" spans="1:11" x14ac:dyDescent="0.25">
      <c r="A21" s="99" t="s">
        <v>0</v>
      </c>
      <c r="B21" s="94">
        <f>AVERAGE(D3:D7)</f>
        <v>0.15040000000000001</v>
      </c>
      <c r="C21" s="94">
        <f>SQRT(VARP(D3:D7))</f>
        <v>0.15811590685316892</v>
      </c>
      <c r="D21" s="94">
        <f>COVAR(D3:D7,$C$3:$C$7)</f>
        <v>1.19448E-2</v>
      </c>
      <c r="E21" s="94">
        <f>D21/VARP($C$3:$C$7)</f>
        <v>1.4538461538461562</v>
      </c>
      <c r="F21" s="95">
        <f>5%+E21*($B$27-5%)</f>
        <v>0.19247692307692332</v>
      </c>
      <c r="H21" s="93">
        <f t="shared" si="3"/>
        <v>-0.18356090884204779</v>
      </c>
    </row>
    <row r="22" spans="1:11" x14ac:dyDescent="0.25">
      <c r="A22" s="99" t="s">
        <v>1</v>
      </c>
      <c r="B22" s="94">
        <f>AVERAGE(E3:E7)</f>
        <v>0.16</v>
      </c>
      <c r="C22" s="94">
        <f>SQRT(VARP(E3:E7))</f>
        <v>9.6953597148326576E-2</v>
      </c>
      <c r="D22" s="94">
        <f>COVAR(E3:E7,$C$3:$C$7)</f>
        <v>8.0199999999999994E-3</v>
      </c>
      <c r="E22" s="94">
        <f t="shared" ref="E22:E27" si="4">D22/VARP($C$3:$C$7)</f>
        <v>0.97614410905550286</v>
      </c>
      <c r="F22" s="95">
        <f t="shared" ref="F22:F26" si="5">5%+E22*($B$27-5%)</f>
        <v>0.1456621226874393</v>
      </c>
      <c r="H22" s="93">
        <f t="shared" si="3"/>
        <v>0.22562504781159515</v>
      </c>
    </row>
    <row r="23" spans="1:11" x14ac:dyDescent="0.25">
      <c r="A23" s="99" t="s">
        <v>2</v>
      </c>
      <c r="B23" s="94">
        <f>AVERAGE(F3:F7)</f>
        <v>0.16400000000000001</v>
      </c>
      <c r="C23" s="94">
        <f>SQRT(VARP(F3:F7))</f>
        <v>7.0028565600046333E-2</v>
      </c>
      <c r="D23" s="94">
        <f>COVAR(F3:F7,$C$3:$C$7)</f>
        <v>-3.9120000000000005E-3</v>
      </c>
      <c r="E23" s="94">
        <f t="shared" si="4"/>
        <v>-0.47614410905550225</v>
      </c>
      <c r="F23" s="95">
        <f t="shared" si="5"/>
        <v>3.3378773125607719E-3</v>
      </c>
      <c r="H23" s="93">
        <f t="shared" si="3"/>
        <v>0.24155757919353715</v>
      </c>
    </row>
    <row r="24" spans="1:11" x14ac:dyDescent="0.25">
      <c r="A24" s="99" t="s">
        <v>148</v>
      </c>
      <c r="B24" s="94">
        <f>AVERAGE(G3:G7)</f>
        <v>0.1202</v>
      </c>
      <c r="C24" s="94">
        <f>SQRT(VARP(G3:G7))</f>
        <v>0.12422624521412533</v>
      </c>
      <c r="D24" s="94">
        <f>COVAR(G3:G7,$C$3:$C$7)</f>
        <v>1.0312399999999999E-2</v>
      </c>
      <c r="E24" s="94">
        <f t="shared" si="4"/>
        <v>1.2551606621226894</v>
      </c>
      <c r="F24" s="95">
        <f t="shared" si="5"/>
        <v>0.17300574488802359</v>
      </c>
      <c r="H24" s="93">
        <f t="shared" si="3"/>
        <v>0.47560253287871462</v>
      </c>
    </row>
    <row r="25" spans="1:11" x14ac:dyDescent="0.25">
      <c r="A25" s="99" t="s">
        <v>149</v>
      </c>
      <c r="B25" s="94">
        <f>AVERAGE(H3:H7)</f>
        <v>0.28179999999999999</v>
      </c>
      <c r="C25" s="94">
        <f>SQRT(VARP(H3:H7))</f>
        <v>0.17956881689202053</v>
      </c>
      <c r="D25" s="94">
        <f>COVAR(H3:H7,$C$3:$C$7)</f>
        <v>7.4215999999999987E-3</v>
      </c>
      <c r="E25" s="94">
        <f t="shared" si="4"/>
        <v>0.90331061343719699</v>
      </c>
      <c r="F25" s="95">
        <f t="shared" si="5"/>
        <v>0.13852444011684534</v>
      </c>
    </row>
    <row r="26" spans="1:11" x14ac:dyDescent="0.25">
      <c r="A26" s="99" t="s">
        <v>150</v>
      </c>
      <c r="B26" s="94">
        <f>AVERAGE(I3:I7)</f>
        <v>0.11640000000000002</v>
      </c>
      <c r="C26" s="94">
        <f>SQRT(VARP(I3:I7))</f>
        <v>6.0098585673874202E-2</v>
      </c>
      <c r="D26" s="94">
        <f>COVAR(I3:I7,$C$3:$C$7)</f>
        <v>2.1768000000000004E-3</v>
      </c>
      <c r="E26" s="94">
        <f t="shared" si="4"/>
        <v>0.26494644595910466</v>
      </c>
      <c r="F26" s="95">
        <f t="shared" si="5"/>
        <v>7.5964751703992264E-2</v>
      </c>
      <c r="H26" s="15" t="s">
        <v>161</v>
      </c>
    </row>
    <row r="27" spans="1:11" ht="15.75" thickBot="1" x14ac:dyDescent="0.3">
      <c r="A27" s="100" t="s">
        <v>147</v>
      </c>
      <c r="B27" s="96">
        <f>AVERAGE(C3:C7)</f>
        <v>0.14800000000000002</v>
      </c>
      <c r="C27" s="96">
        <f>SQRT(VARP(C3:C7))</f>
        <v>9.0642153548997212E-2</v>
      </c>
      <c r="D27" s="96">
        <f>COVAR(C3:C7,$C$3:$C$7)</f>
        <v>8.2159999999999976E-3</v>
      </c>
      <c r="E27" s="96">
        <f t="shared" si="4"/>
        <v>1.0000000000000013</v>
      </c>
      <c r="F27" s="97"/>
      <c r="H27" s="101">
        <f>B11-F11</f>
        <v>-4.6078034682080798E-2</v>
      </c>
      <c r="J27" t="s">
        <v>162</v>
      </c>
    </row>
    <row r="28" spans="1:11" x14ac:dyDescent="0.25">
      <c r="H28" s="93">
        <f t="shared" ref="H28:H31" si="6">B12-F12</f>
        <v>4.4653179190751527E-2</v>
      </c>
      <c r="J28" t="s">
        <v>163</v>
      </c>
    </row>
    <row r="29" spans="1:11" x14ac:dyDescent="0.25">
      <c r="H29" s="93">
        <f t="shared" si="6"/>
        <v>0.18790462427745658</v>
      </c>
    </row>
    <row r="30" spans="1:11" x14ac:dyDescent="0.25">
      <c r="H30" s="93">
        <f t="shared" si="6"/>
        <v>3.3174855491329508E-2</v>
      </c>
    </row>
    <row r="31" spans="1:11" x14ac:dyDescent="0.25">
      <c r="H31" s="93">
        <f t="shared" si="6"/>
        <v>0.11760693641618508</v>
      </c>
    </row>
    <row r="32" spans="1:11" x14ac:dyDescent="0.25">
      <c r="H32" s="93">
        <f>B16-F16</f>
        <v>4.978612716763009E-2</v>
      </c>
    </row>
    <row r="34" spans="1:3" x14ac:dyDescent="0.25">
      <c r="A34" t="s">
        <v>164</v>
      </c>
    </row>
    <row r="35" spans="1:3" x14ac:dyDescent="0.25">
      <c r="A35" t="s">
        <v>189</v>
      </c>
    </row>
    <row r="36" spans="1:3" x14ac:dyDescent="0.25">
      <c r="A36" t="s">
        <v>218</v>
      </c>
    </row>
    <row r="37" spans="1:3" x14ac:dyDescent="0.25">
      <c r="B37" t="s">
        <v>156</v>
      </c>
    </row>
    <row r="38" spans="1:3" x14ac:dyDescent="0.25">
      <c r="A38" s="99" t="s">
        <v>148</v>
      </c>
      <c r="B38">
        <f>(B24-5%)/C24</f>
        <v>0.56509797812047047</v>
      </c>
    </row>
    <row r="39" spans="1:3" x14ac:dyDescent="0.25">
      <c r="A39" s="99" t="s">
        <v>149</v>
      </c>
      <c r="B39">
        <f t="shared" ref="B39:B40" si="7">(B25-5%)/C25</f>
        <v>1.2908700074545096</v>
      </c>
      <c r="C39" t="s">
        <v>190</v>
      </c>
    </row>
    <row r="40" spans="1:3" x14ac:dyDescent="0.25">
      <c r="A40" s="99" t="s">
        <v>150</v>
      </c>
      <c r="B40">
        <f t="shared" si="7"/>
        <v>1.1048512915149205</v>
      </c>
    </row>
    <row r="44" spans="1:3" x14ac:dyDescent="0.25">
      <c r="A44" t="s">
        <v>219</v>
      </c>
    </row>
    <row r="45" spans="1:3" x14ac:dyDescent="0.25">
      <c r="A45" t="s">
        <v>165</v>
      </c>
    </row>
    <row r="47" spans="1:3" x14ac:dyDescent="0.25">
      <c r="A47" s="99" t="s">
        <v>148</v>
      </c>
      <c r="B47">
        <f>(B24-5%)/E24</f>
        <v>5.5929095070012709E-2</v>
      </c>
    </row>
    <row r="48" spans="1:3" x14ac:dyDescent="0.25">
      <c r="A48" s="99" t="s">
        <v>149</v>
      </c>
      <c r="B48" s="102">
        <f t="shared" ref="B48:B49" si="8">(B25-5%)/E25</f>
        <v>0.2566116201358194</v>
      </c>
    </row>
    <row r="49" spans="1:5" x14ac:dyDescent="0.25">
      <c r="A49" s="99" t="s">
        <v>150</v>
      </c>
      <c r="B49">
        <f t="shared" si="8"/>
        <v>0.25061668504226348</v>
      </c>
    </row>
    <row r="52" spans="1:5" x14ac:dyDescent="0.25">
      <c r="A52" s="105" t="s">
        <v>220</v>
      </c>
    </row>
    <row r="53" spans="1:5" x14ac:dyDescent="0.25">
      <c r="A53" s="60" t="s">
        <v>0</v>
      </c>
      <c r="B53" s="93">
        <f>B21-F21</f>
        <v>-4.2076923076923317E-2</v>
      </c>
    </row>
    <row r="54" spans="1:5" x14ac:dyDescent="0.25">
      <c r="A54" s="60" t="s">
        <v>1</v>
      </c>
      <c r="B54" s="93">
        <f t="shared" ref="B54:B55" si="9">B22-F22</f>
        <v>1.4337877312560698E-2</v>
      </c>
      <c r="E54" t="s">
        <v>166</v>
      </c>
    </row>
    <row r="55" spans="1:5" x14ac:dyDescent="0.25">
      <c r="A55" s="60" t="s">
        <v>2</v>
      </c>
      <c r="B55" s="93">
        <f t="shared" si="9"/>
        <v>0.16066212268743923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zoomScale="70" zoomScaleNormal="70" workbookViewId="0">
      <selection activeCell="N25" sqref="N25"/>
    </sheetView>
  </sheetViews>
  <sheetFormatPr baseColWidth="10" defaultRowHeight="15" x14ac:dyDescent="0.25"/>
  <cols>
    <col min="2" max="2" width="16.42578125" customWidth="1"/>
  </cols>
  <sheetData>
    <row r="2" spans="1:11" x14ac:dyDescent="0.25">
      <c r="A2" t="s">
        <v>47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1" x14ac:dyDescent="0.25">
      <c r="A3" t="s">
        <v>167</v>
      </c>
      <c r="B3">
        <v>-100000</v>
      </c>
      <c r="C3">
        <v>10000</v>
      </c>
      <c r="D3">
        <v>11000</v>
      </c>
      <c r="E3">
        <v>12000</v>
      </c>
      <c r="F3">
        <v>13500</v>
      </c>
      <c r="G3">
        <v>15000</v>
      </c>
      <c r="H3">
        <v>20000</v>
      </c>
      <c r="J3" s="2" t="s">
        <v>168</v>
      </c>
      <c r="K3" s="103">
        <f>IRR(B5:H5)</f>
        <v>0.12961676850112425</v>
      </c>
    </row>
    <row r="4" spans="1:11" x14ac:dyDescent="0.25">
      <c r="H4">
        <v>100000</v>
      </c>
    </row>
    <row r="5" spans="1:11" x14ac:dyDescent="0.25">
      <c r="B5">
        <f>SUM(B3:B4)</f>
        <v>-100000</v>
      </c>
      <c r="C5">
        <f t="shared" ref="C5:H5" si="0">SUM(C3:C4)</f>
        <v>10000</v>
      </c>
      <c r="D5">
        <f t="shared" si="0"/>
        <v>11000</v>
      </c>
      <c r="E5">
        <f t="shared" si="0"/>
        <v>12000</v>
      </c>
      <c r="F5">
        <f t="shared" si="0"/>
        <v>13500</v>
      </c>
      <c r="G5">
        <f t="shared" si="0"/>
        <v>15000</v>
      </c>
      <c r="H5">
        <f t="shared" si="0"/>
        <v>120000</v>
      </c>
    </row>
    <row r="6" spans="1:11" x14ac:dyDescent="0.25">
      <c r="A6" t="s">
        <v>47</v>
      </c>
      <c r="B6" t="s">
        <v>92</v>
      </c>
    </row>
    <row r="7" spans="1:11" x14ac:dyDescent="0.25">
      <c r="A7">
        <v>1</v>
      </c>
      <c r="B7">
        <v>-0.18459999999999999</v>
      </c>
    </row>
    <row r="8" spans="1:11" x14ac:dyDescent="0.25">
      <c r="A8">
        <v>2</v>
      </c>
      <c r="B8">
        <v>0.70589999999999997</v>
      </c>
    </row>
    <row r="9" spans="1:11" x14ac:dyDescent="0.25">
      <c r="A9">
        <v>3</v>
      </c>
      <c r="B9">
        <v>-0.20419999999999999</v>
      </c>
    </row>
    <row r="10" spans="1:11" x14ac:dyDescent="0.25">
      <c r="A10">
        <v>4</v>
      </c>
      <c r="B10">
        <v>7.0699999999999999E-2</v>
      </c>
    </row>
    <row r="11" spans="1:11" x14ac:dyDescent="0.25">
      <c r="A11">
        <v>5</v>
      </c>
      <c r="B11">
        <v>-5.96E-2</v>
      </c>
    </row>
    <row r="12" spans="1:11" x14ac:dyDescent="0.25">
      <c r="A12">
        <v>6</v>
      </c>
      <c r="B12">
        <v>0.59340000000000004</v>
      </c>
    </row>
    <row r="13" spans="1:11" x14ac:dyDescent="0.25">
      <c r="B13">
        <f>AVERAGE(B7:B12)</f>
        <v>0.15359999999999999</v>
      </c>
    </row>
    <row r="15" spans="1:11" x14ac:dyDescent="0.25">
      <c r="A15" t="s">
        <v>191</v>
      </c>
    </row>
    <row r="16" spans="1:11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B19" t="s">
        <v>169</v>
      </c>
      <c r="C19" s="79">
        <f>K3</f>
        <v>0.12961676850112425</v>
      </c>
    </row>
    <row r="21" spans="1:3" x14ac:dyDescent="0.25">
      <c r="B21" t="s">
        <v>170</v>
      </c>
      <c r="C21" s="79">
        <f>B13-C19</f>
        <v>2.398323149887574E-2</v>
      </c>
    </row>
    <row r="23" spans="1:3" x14ac:dyDescent="0.25">
      <c r="A23" t="s">
        <v>171</v>
      </c>
    </row>
    <row r="24" spans="1:3" x14ac:dyDescent="0.25">
      <c r="A24">
        <f>1/6*((B7-C19)^2+(B9-C19)^2+(B10-C19)^2+(B11-C19)^2)</f>
        <v>4.1573330605407556E-2</v>
      </c>
    </row>
    <row r="26" spans="1:3" x14ac:dyDescent="0.25">
      <c r="A26" t="s">
        <v>172</v>
      </c>
    </row>
    <row r="27" spans="1:3" x14ac:dyDescent="0.25">
      <c r="A27">
        <f>C21/SQRT(A24)</f>
        <v>0.11762517702089173</v>
      </c>
    </row>
    <row r="28" spans="1:3" x14ac:dyDescent="0.25">
      <c r="A28" t="s">
        <v>221</v>
      </c>
    </row>
    <row r="29" spans="1:3" x14ac:dyDescent="0.25">
      <c r="A29" t="s">
        <v>222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70" zoomScaleNormal="70" workbookViewId="0">
      <selection activeCell="H26" sqref="H26"/>
    </sheetView>
  </sheetViews>
  <sheetFormatPr baseColWidth="10" defaultRowHeight="15" x14ac:dyDescent="0.25"/>
  <cols>
    <col min="3" max="3" width="22.28515625" customWidth="1"/>
  </cols>
  <sheetData>
    <row r="1" spans="1:6" x14ac:dyDescent="0.25">
      <c r="D1" t="s">
        <v>51</v>
      </c>
      <c r="E1" t="s">
        <v>53</v>
      </c>
      <c r="F1" t="s">
        <v>173</v>
      </c>
    </row>
    <row r="2" spans="1:6" x14ac:dyDescent="0.25">
      <c r="D2" t="s">
        <v>0</v>
      </c>
      <c r="E2" s="3">
        <v>0.2</v>
      </c>
      <c r="F2">
        <v>0.15</v>
      </c>
    </row>
    <row r="3" spans="1:6" x14ac:dyDescent="0.25">
      <c r="D3" t="s">
        <v>1</v>
      </c>
      <c r="E3" s="79">
        <v>0.13800000000000001</v>
      </c>
      <c r="F3">
        <v>0.09</v>
      </c>
    </row>
    <row r="4" spans="1:6" x14ac:dyDescent="0.25">
      <c r="D4" t="s">
        <v>174</v>
      </c>
      <c r="E4" s="3">
        <v>0.06</v>
      </c>
      <c r="F4">
        <v>0.04</v>
      </c>
    </row>
    <row r="7" spans="1:6" x14ac:dyDescent="0.25">
      <c r="A7" t="s">
        <v>175</v>
      </c>
    </row>
    <row r="8" spans="1:6" x14ac:dyDescent="0.25">
      <c r="A8" t="s">
        <v>0</v>
      </c>
      <c r="B8">
        <f>(E2-3%)/F2</f>
        <v>1.1333333333333335</v>
      </c>
    </row>
    <row r="9" spans="1:6" x14ac:dyDescent="0.25">
      <c r="A9" t="s">
        <v>1</v>
      </c>
      <c r="B9">
        <f>(E3-3%)/F3</f>
        <v>1.2000000000000002</v>
      </c>
      <c r="D9" t="s">
        <v>176</v>
      </c>
    </row>
    <row r="12" spans="1:6" x14ac:dyDescent="0.25">
      <c r="A12" t="s">
        <v>223</v>
      </c>
    </row>
    <row r="13" spans="1:6" x14ac:dyDescent="0.25">
      <c r="A13" t="s">
        <v>224</v>
      </c>
    </row>
    <row r="14" spans="1:6" x14ac:dyDescent="0.25">
      <c r="A14" t="s">
        <v>225</v>
      </c>
    </row>
    <row r="15" spans="1:6" x14ac:dyDescent="0.25">
      <c r="A15" t="s">
        <v>103</v>
      </c>
      <c r="B15" t="s">
        <v>92</v>
      </c>
      <c r="C15" t="s">
        <v>195</v>
      </c>
      <c r="D15" t="s">
        <v>177</v>
      </c>
    </row>
    <row r="16" spans="1:6" x14ac:dyDescent="0.25">
      <c r="A16" t="s">
        <v>0</v>
      </c>
      <c r="B16">
        <f>0.2</f>
        <v>0.2</v>
      </c>
      <c r="C16">
        <f>0.03+((0.06-0.03)/0.04)*0.15</f>
        <v>0.14249999999999999</v>
      </c>
      <c r="D16">
        <f>B16-C16</f>
        <v>5.7500000000000023E-2</v>
      </c>
    </row>
    <row r="17" spans="1:4" x14ac:dyDescent="0.25">
      <c r="A17" t="s">
        <v>1</v>
      </c>
      <c r="B17">
        <v>0.13800000000000001</v>
      </c>
      <c r="C17">
        <f>0.03+((0.06-0.03)/0.04)*0.09</f>
        <v>9.7500000000000003E-2</v>
      </c>
      <c r="D17">
        <f>B17-C17</f>
        <v>4.0500000000000008E-2</v>
      </c>
    </row>
    <row r="20" spans="1:4" x14ac:dyDescent="0.25">
      <c r="A20" t="s">
        <v>226</v>
      </c>
    </row>
    <row r="23" spans="1:4" x14ac:dyDescent="0.25">
      <c r="A23" t="s">
        <v>103</v>
      </c>
      <c r="B23" t="s">
        <v>171</v>
      </c>
      <c r="C23" t="s">
        <v>182</v>
      </c>
      <c r="D23" t="s">
        <v>92</v>
      </c>
    </row>
    <row r="24" spans="1:4" x14ac:dyDescent="0.25">
      <c r="A24" t="s">
        <v>178</v>
      </c>
      <c r="B24" t="s">
        <v>180</v>
      </c>
      <c r="C24">
        <v>0.26669999999999999</v>
      </c>
      <c r="D24">
        <f>0.2667*0.2+0.7333*0.03</f>
        <v>7.5338999999999989E-2</v>
      </c>
    </row>
    <row r="25" spans="1:4" x14ac:dyDescent="0.25">
      <c r="A25" t="s">
        <v>179</v>
      </c>
      <c r="B25" t="s">
        <v>181</v>
      </c>
      <c r="C25">
        <v>0.44440000000000002</v>
      </c>
      <c r="D25">
        <f>0.4444*0.138+0.5556*0.03</f>
        <v>7.7995200000000001E-2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zoomScaleNormal="100" workbookViewId="0">
      <selection activeCell="K15" sqref="K15"/>
    </sheetView>
  </sheetViews>
  <sheetFormatPr baseColWidth="10" defaultRowHeight="15" x14ac:dyDescent="0.25"/>
  <sheetData>
    <row r="4" spans="2:16" x14ac:dyDescent="0.25">
      <c r="B4" s="2" t="s">
        <v>5</v>
      </c>
      <c r="C4" s="4">
        <v>1.129032258064516</v>
      </c>
      <c r="D4" t="s">
        <v>7</v>
      </c>
      <c r="E4" s="3">
        <v>0.08</v>
      </c>
      <c r="F4" t="s">
        <v>20</v>
      </c>
      <c r="G4">
        <v>1</v>
      </c>
    </row>
    <row r="5" spans="2:16" x14ac:dyDescent="0.25">
      <c r="B5" s="2" t="s">
        <v>6</v>
      </c>
      <c r="C5" s="4">
        <f>1-C4</f>
        <v>-0.12903225806451601</v>
      </c>
      <c r="D5" t="s">
        <v>8</v>
      </c>
      <c r="E5" s="3">
        <v>0.7</v>
      </c>
    </row>
    <row r="6" spans="2:16" x14ac:dyDescent="0.25">
      <c r="J6" s="102"/>
      <c r="K6" s="102"/>
      <c r="L6" s="102"/>
      <c r="M6" s="102"/>
      <c r="N6" s="102"/>
      <c r="O6" s="102"/>
      <c r="P6" s="102"/>
    </row>
    <row r="8" spans="2:16" x14ac:dyDescent="0.25">
      <c r="D8" t="s">
        <v>9</v>
      </c>
      <c r="E8" s="12">
        <f>((C4^2)*(E4^2))+((C5^2)*(E5^2))+(2*C4*C5*E4*E5*G4)</f>
        <v>0</v>
      </c>
    </row>
    <row r="13" spans="2:16" x14ac:dyDescent="0.25">
      <c r="B13" s="2" t="s">
        <v>5</v>
      </c>
      <c r="C13" s="4">
        <v>0.89680761645823481</v>
      </c>
      <c r="D13" t="s">
        <v>7</v>
      </c>
      <c r="E13" s="3">
        <v>0.08</v>
      </c>
      <c r="F13" t="s">
        <v>20</v>
      </c>
      <c r="G13">
        <v>-1</v>
      </c>
    </row>
    <row r="14" spans="2:16" x14ac:dyDescent="0.25">
      <c r="B14" s="2" t="s">
        <v>6</v>
      </c>
      <c r="C14" s="4">
        <f>1-C13</f>
        <v>0.10319238354176519</v>
      </c>
      <c r="D14" t="s">
        <v>8</v>
      </c>
      <c r="E14" s="3">
        <v>0.7</v>
      </c>
    </row>
    <row r="17" spans="4:5" x14ac:dyDescent="0.25">
      <c r="D17" t="s">
        <v>9</v>
      </c>
      <c r="E17">
        <f>((C13^2)*(E13^2))+((C14^2)*(E14^2))+(2*C13*C14*E13*E14*G13)</f>
        <v>2.4015798282678302E-7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90" zoomScaleNormal="90" workbookViewId="0">
      <selection activeCell="M42" sqref="M42"/>
    </sheetView>
  </sheetViews>
  <sheetFormatPr baseColWidth="10" defaultRowHeight="15" x14ac:dyDescent="0.25"/>
  <cols>
    <col min="3" max="7" width="11.42578125" style="14"/>
    <col min="9" max="9" width="11.42578125" style="14"/>
  </cols>
  <sheetData>
    <row r="1" spans="2:10" x14ac:dyDescent="0.25">
      <c r="E1" s="10"/>
    </row>
    <row r="2" spans="2:10" x14ac:dyDescent="0.25">
      <c r="E2" s="10"/>
    </row>
    <row r="3" spans="2:10" x14ac:dyDescent="0.25">
      <c r="B3" s="15" t="s">
        <v>21</v>
      </c>
      <c r="E3" s="10"/>
      <c r="G3" s="16" t="s">
        <v>22</v>
      </c>
    </row>
    <row r="4" spans="2:10" x14ac:dyDescent="0.25">
      <c r="B4" s="17" t="s">
        <v>0</v>
      </c>
      <c r="C4" s="18" t="s">
        <v>1</v>
      </c>
      <c r="D4" s="19" t="s">
        <v>2</v>
      </c>
      <c r="E4" s="10"/>
      <c r="F4" s="17" t="s">
        <v>0</v>
      </c>
      <c r="G4" s="18" t="s">
        <v>1</v>
      </c>
      <c r="H4" s="19" t="s">
        <v>2</v>
      </c>
    </row>
    <row r="5" spans="2:10" x14ac:dyDescent="0.25">
      <c r="B5" s="20" t="s">
        <v>23</v>
      </c>
      <c r="C5" s="21" t="s">
        <v>23</v>
      </c>
      <c r="D5" s="22" t="s">
        <v>23</v>
      </c>
      <c r="F5" s="20" t="s">
        <v>23</v>
      </c>
      <c r="G5" s="21" t="s">
        <v>23</v>
      </c>
      <c r="H5" s="22" t="s">
        <v>23</v>
      </c>
    </row>
    <row r="6" spans="2:10" x14ac:dyDescent="0.25">
      <c r="B6" s="23">
        <f>(200/2)/C11</f>
        <v>2</v>
      </c>
      <c r="C6" s="24">
        <f>(200/4)/E11</f>
        <v>2.5</v>
      </c>
      <c r="D6" s="25">
        <f>(200/4)/G11</f>
        <v>0.83333333333333337</v>
      </c>
      <c r="F6" s="26">
        <f>0.5</f>
        <v>0.5</v>
      </c>
      <c r="G6" s="27">
        <f>0.25</f>
        <v>0.25</v>
      </c>
      <c r="H6" s="28">
        <f>0.25</f>
        <v>0.25</v>
      </c>
    </row>
    <row r="8" spans="2:10" x14ac:dyDescent="0.25">
      <c r="B8" s="29"/>
      <c r="C8" s="17" t="s">
        <v>0</v>
      </c>
      <c r="D8" s="19"/>
      <c r="E8" s="17" t="s">
        <v>1</v>
      </c>
      <c r="F8" s="19"/>
      <c r="G8" s="18" t="s">
        <v>2</v>
      </c>
      <c r="H8" s="30"/>
      <c r="I8" s="17" t="s">
        <v>24</v>
      </c>
      <c r="J8" s="30"/>
    </row>
    <row r="9" spans="2:10" ht="75" x14ac:dyDescent="0.25">
      <c r="B9" s="31"/>
      <c r="C9" s="1" t="s">
        <v>3</v>
      </c>
      <c r="D9" s="32" t="s">
        <v>4</v>
      </c>
      <c r="E9" s="1" t="s">
        <v>3</v>
      </c>
      <c r="F9" s="32" t="s">
        <v>4</v>
      </c>
      <c r="G9" s="6" t="s">
        <v>3</v>
      </c>
      <c r="H9" s="22" t="s">
        <v>4</v>
      </c>
      <c r="I9" s="1" t="s">
        <v>3</v>
      </c>
      <c r="J9" s="33" t="s">
        <v>25</v>
      </c>
    </row>
    <row r="10" spans="2:10" x14ac:dyDescent="0.25">
      <c r="B10" s="31"/>
      <c r="C10" s="1"/>
      <c r="D10" s="32"/>
      <c r="E10" s="1"/>
      <c r="F10" s="32"/>
      <c r="G10" s="6"/>
      <c r="H10" s="22"/>
      <c r="I10" s="1"/>
      <c r="J10" s="22"/>
    </row>
    <row r="11" spans="2:10" x14ac:dyDescent="0.25">
      <c r="B11" s="34">
        <v>39172</v>
      </c>
      <c r="C11" s="111">
        <v>50</v>
      </c>
      <c r="D11" s="112"/>
      <c r="E11" s="111">
        <v>20</v>
      </c>
      <c r="F11" s="112"/>
      <c r="G11" s="113">
        <v>60</v>
      </c>
      <c r="H11" s="114"/>
      <c r="I11" s="111">
        <v>200</v>
      </c>
      <c r="J11" s="22"/>
    </row>
    <row r="12" spans="2:10" x14ac:dyDescent="0.25">
      <c r="B12" s="34">
        <v>39202</v>
      </c>
      <c r="C12" s="111">
        <v>60</v>
      </c>
      <c r="D12" s="112">
        <f>(C12-C11)/C11</f>
        <v>0.2</v>
      </c>
      <c r="E12" s="111">
        <v>20.6</v>
      </c>
      <c r="F12" s="112">
        <f>(E12-E11)/E11</f>
        <v>3.0000000000000072E-2</v>
      </c>
      <c r="G12" s="113">
        <v>54</v>
      </c>
      <c r="H12" s="112">
        <f>(G12-G11)/G11</f>
        <v>-0.1</v>
      </c>
      <c r="I12" s="111">
        <f>I11*(1+J12)</f>
        <v>216.5</v>
      </c>
      <c r="J12" s="108">
        <f>$F$6*D12+$G$6*F12+$H$6*H12</f>
        <v>8.2500000000000018E-2</v>
      </c>
    </row>
    <row r="13" spans="2:10" x14ac:dyDescent="0.25">
      <c r="B13" s="34">
        <v>39233</v>
      </c>
      <c r="C13" s="111">
        <v>78</v>
      </c>
      <c r="D13" s="112">
        <f t="shared" ref="D13:D14" si="0">(C13-C12)/C12</f>
        <v>0.3</v>
      </c>
      <c r="E13" s="111">
        <v>21.321000000000002</v>
      </c>
      <c r="F13" s="112">
        <f t="shared" ref="F13:F14" si="1">(E13-E12)/E12</f>
        <v>3.5000000000000003E-2</v>
      </c>
      <c r="G13" s="113">
        <v>48.06</v>
      </c>
      <c r="H13" s="112">
        <f t="shared" ref="H13:H14" si="2">(G13-G12)/G12</f>
        <v>-0.10999999999999996</v>
      </c>
      <c r="I13" s="111">
        <f>I12*(1+J13)</f>
        <v>244.91562500000001</v>
      </c>
      <c r="J13" s="108">
        <f>$F$6*D13+$G$6*F13+$H$6*H13</f>
        <v>0.13125000000000001</v>
      </c>
    </row>
    <row r="14" spans="2:10" x14ac:dyDescent="0.25">
      <c r="B14" s="36">
        <v>39263</v>
      </c>
      <c r="C14" s="115">
        <v>74.099999999999994</v>
      </c>
      <c r="D14" s="116">
        <f t="shared" si="0"/>
        <v>-5.0000000000000072E-2</v>
      </c>
      <c r="E14" s="115">
        <v>21.107790000000001</v>
      </c>
      <c r="F14" s="116">
        <f t="shared" si="1"/>
        <v>-1.0000000000000005E-2</v>
      </c>
      <c r="G14" s="117">
        <v>49.501800000000003</v>
      </c>
      <c r="H14" s="116">
        <f t="shared" si="2"/>
        <v>3.0000000000000013E-2</v>
      </c>
      <c r="I14" s="118">
        <f>I13*(1+J14)</f>
        <v>240.0173125</v>
      </c>
      <c r="J14" s="108">
        <f>$F$6*D14+$G$6*F14+$H$6*H14</f>
        <v>-2.0000000000000035E-2</v>
      </c>
    </row>
    <row r="15" spans="2:10" x14ac:dyDescent="0.25">
      <c r="D15" s="109">
        <f>AVERAGE(D12:D14)</f>
        <v>0.15</v>
      </c>
      <c r="E15" s="107"/>
      <c r="F15" s="109">
        <f>AVERAGE(F12:F14)</f>
        <v>1.8333333333333354E-2</v>
      </c>
      <c r="G15" s="107"/>
      <c r="H15" s="109">
        <f>AVERAGE(H12:H14)</f>
        <v>-5.9999999999999977E-2</v>
      </c>
    </row>
    <row r="18" spans="1:9" x14ac:dyDescent="0.25">
      <c r="A18" s="106"/>
      <c r="B18" s="107"/>
      <c r="C18" s="107" t="s">
        <v>26</v>
      </c>
      <c r="D18" s="107"/>
      <c r="E18" s="110">
        <f>(I14-I11)/I11</f>
        <v>0.20008656250000001</v>
      </c>
      <c r="F18" s="107"/>
      <c r="G18" s="107" t="s">
        <v>27</v>
      </c>
      <c r="H18" s="106"/>
      <c r="I18" s="110">
        <f>(1+J12)*(1+J13)*(1+J14)-1</f>
        <v>0.20008656250000012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zoomScale="70" zoomScaleNormal="70" workbookViewId="0">
      <selection activeCell="S20" sqref="S20"/>
    </sheetView>
  </sheetViews>
  <sheetFormatPr baseColWidth="10" defaultRowHeight="15" x14ac:dyDescent="0.25"/>
  <cols>
    <col min="3" max="7" width="11.42578125" style="14"/>
    <col min="9" max="9" width="11.42578125" style="14"/>
    <col min="11" max="11" width="14.42578125" customWidth="1"/>
    <col min="17" max="17" width="12" customWidth="1"/>
  </cols>
  <sheetData>
    <row r="1" spans="2:17" x14ac:dyDescent="0.25">
      <c r="E1" s="10"/>
    </row>
    <row r="2" spans="2:17" x14ac:dyDescent="0.25">
      <c r="E2" s="10"/>
    </row>
    <row r="3" spans="2:17" x14ac:dyDescent="0.25">
      <c r="B3" s="15" t="s">
        <v>21</v>
      </c>
      <c r="E3" s="10"/>
      <c r="G3" s="16" t="s">
        <v>22</v>
      </c>
    </row>
    <row r="4" spans="2:17" x14ac:dyDescent="0.25">
      <c r="B4" s="17" t="s">
        <v>0</v>
      </c>
      <c r="C4" s="18" t="s">
        <v>1</v>
      </c>
      <c r="D4" s="19" t="s">
        <v>2</v>
      </c>
      <c r="E4" s="10"/>
      <c r="F4" s="17" t="s">
        <v>0</v>
      </c>
      <c r="G4" s="18" t="s">
        <v>1</v>
      </c>
      <c r="H4" s="19" t="s">
        <v>2</v>
      </c>
    </row>
    <row r="5" spans="2:17" x14ac:dyDescent="0.25">
      <c r="B5" s="20" t="s">
        <v>23</v>
      </c>
      <c r="C5" s="21" t="s">
        <v>23</v>
      </c>
      <c r="D5" s="22" t="s">
        <v>23</v>
      </c>
      <c r="F5" s="20" t="s">
        <v>23</v>
      </c>
      <c r="G5" s="21" t="s">
        <v>23</v>
      </c>
      <c r="H5" s="22" t="s">
        <v>23</v>
      </c>
    </row>
    <row r="6" spans="2:17" x14ac:dyDescent="0.25">
      <c r="B6" s="23">
        <f>(200/2)/C11</f>
        <v>2</v>
      </c>
      <c r="C6" s="24">
        <f>(200/4)/E11</f>
        <v>2.5</v>
      </c>
      <c r="D6" s="25">
        <f>(200/4)/G11</f>
        <v>0.83333333333333337</v>
      </c>
      <c r="F6" s="26">
        <f>0.5</f>
        <v>0.5</v>
      </c>
      <c r="G6" s="27">
        <f>0.25</f>
        <v>0.25</v>
      </c>
      <c r="H6" s="28">
        <f>0.25</f>
        <v>0.25</v>
      </c>
    </row>
    <row r="8" spans="2:17" x14ac:dyDescent="0.25">
      <c r="B8" s="29"/>
      <c r="C8" s="17" t="s">
        <v>0</v>
      </c>
      <c r="D8" s="19"/>
      <c r="E8" s="17" t="s">
        <v>1</v>
      </c>
      <c r="F8" s="19"/>
      <c r="G8" s="18" t="s">
        <v>2</v>
      </c>
      <c r="H8" s="30"/>
      <c r="I8" s="17" t="s">
        <v>24</v>
      </c>
      <c r="J8" s="30"/>
      <c r="K8" s="40" t="s">
        <v>28</v>
      </c>
      <c r="L8" s="41"/>
      <c r="M8" s="41"/>
      <c r="N8" s="30"/>
      <c r="O8" s="42" t="s">
        <v>29</v>
      </c>
      <c r="P8" s="43"/>
      <c r="Q8" s="30"/>
    </row>
    <row r="9" spans="2:17" ht="75" x14ac:dyDescent="0.25">
      <c r="B9" s="31"/>
      <c r="C9" s="1" t="s">
        <v>3</v>
      </c>
      <c r="D9" s="32" t="s">
        <v>4</v>
      </c>
      <c r="E9" s="1" t="s">
        <v>3</v>
      </c>
      <c r="F9" s="32" t="s">
        <v>4</v>
      </c>
      <c r="G9" s="6" t="s">
        <v>3</v>
      </c>
      <c r="H9" s="22" t="s">
        <v>4</v>
      </c>
      <c r="I9" s="1" t="s">
        <v>3</v>
      </c>
      <c r="J9" s="33" t="s">
        <v>25</v>
      </c>
      <c r="K9" s="44" t="s">
        <v>30</v>
      </c>
      <c r="L9" s="45" t="s">
        <v>31</v>
      </c>
      <c r="M9" s="45" t="s">
        <v>32</v>
      </c>
      <c r="N9" s="46" t="s">
        <v>33</v>
      </c>
      <c r="O9" s="45" t="s">
        <v>0</v>
      </c>
      <c r="P9" s="45" t="s">
        <v>1</v>
      </c>
      <c r="Q9" s="46" t="s">
        <v>2</v>
      </c>
    </row>
    <row r="10" spans="2:17" x14ac:dyDescent="0.25">
      <c r="B10" s="31"/>
      <c r="C10" s="1"/>
      <c r="D10" s="32"/>
      <c r="E10" s="1"/>
      <c r="F10" s="32"/>
      <c r="G10" s="6"/>
      <c r="H10" s="22"/>
      <c r="I10" s="1"/>
      <c r="J10" s="22"/>
      <c r="K10" s="20"/>
      <c r="L10" s="21"/>
      <c r="M10" s="21"/>
      <c r="N10" s="22"/>
      <c r="O10" s="21"/>
      <c r="P10" s="21"/>
      <c r="Q10" s="22"/>
    </row>
    <row r="11" spans="2:17" x14ac:dyDescent="0.25">
      <c r="B11" s="34">
        <v>39172</v>
      </c>
      <c r="C11" s="1">
        <v>50</v>
      </c>
      <c r="D11" s="32"/>
      <c r="E11" s="1">
        <v>20</v>
      </c>
      <c r="F11" s="32"/>
      <c r="G11" s="6">
        <v>60</v>
      </c>
      <c r="H11" s="22"/>
      <c r="I11" s="1">
        <v>200</v>
      </c>
      <c r="J11" s="22"/>
      <c r="K11" s="20"/>
      <c r="L11" s="21"/>
      <c r="M11" s="21"/>
      <c r="N11" s="22"/>
      <c r="O11" s="21"/>
      <c r="P11" s="21"/>
      <c r="Q11" s="22"/>
    </row>
    <row r="12" spans="2:17" x14ac:dyDescent="0.25">
      <c r="B12" s="34">
        <v>39202</v>
      </c>
      <c r="C12" s="1">
        <v>60</v>
      </c>
      <c r="D12" s="32">
        <f>(C12-C11)/C11</f>
        <v>0.2</v>
      </c>
      <c r="E12" s="1">
        <v>20.6</v>
      </c>
      <c r="F12" s="32">
        <f>(E12-E11)/E11</f>
        <v>3.0000000000000072E-2</v>
      </c>
      <c r="G12" s="6">
        <v>54</v>
      </c>
      <c r="H12" s="32">
        <f>(G12-G11)/G11</f>
        <v>-0.1</v>
      </c>
      <c r="I12" s="1">
        <f>I11*(1+J12)</f>
        <v>216.5</v>
      </c>
      <c r="J12" s="35">
        <f>F6*D12+G6*F12+H6*H12</f>
        <v>8.2500000000000018E-2</v>
      </c>
      <c r="K12" s="20">
        <f>$B$6*C12</f>
        <v>120</v>
      </c>
      <c r="L12" s="21">
        <f>$C$6*E12</f>
        <v>51.5</v>
      </c>
      <c r="M12" s="21">
        <f>$D$6*G12</f>
        <v>45</v>
      </c>
      <c r="N12" s="22">
        <f>K12+L12+M12</f>
        <v>216.5</v>
      </c>
      <c r="O12" s="21">
        <f>K12/N12</f>
        <v>0.55427251732101612</v>
      </c>
      <c r="P12" s="21">
        <f>L12/N12</f>
        <v>0.23787528868360278</v>
      </c>
      <c r="Q12" s="22">
        <f>M12/N12</f>
        <v>0.20785219399538107</v>
      </c>
    </row>
    <row r="13" spans="2:17" x14ac:dyDescent="0.25">
      <c r="B13" s="34">
        <v>39233</v>
      </c>
      <c r="C13" s="1">
        <v>78</v>
      </c>
      <c r="D13" s="32">
        <f t="shared" ref="D13:D14" si="0">(C13-C12)/C12</f>
        <v>0.3</v>
      </c>
      <c r="E13" s="1">
        <v>21.321000000000002</v>
      </c>
      <c r="F13" s="32">
        <f t="shared" ref="F13:F14" si="1">(E13-E12)/E12</f>
        <v>3.5000000000000003E-2</v>
      </c>
      <c r="G13" s="6">
        <v>48.06</v>
      </c>
      <c r="H13" s="32">
        <f t="shared" ref="H13:H14" si="2">(G13-G12)/G12</f>
        <v>-0.10999999999999996</v>
      </c>
      <c r="I13" s="1">
        <f>I12*(1+J13)</f>
        <v>249.35250000000002</v>
      </c>
      <c r="J13" s="35">
        <f>O12*D13+P12*F13+Q12*H13</f>
        <v>0.15174364896073902</v>
      </c>
      <c r="K13" s="20">
        <f t="shared" ref="K13:K14" si="3">$B$6*C13</f>
        <v>156</v>
      </c>
      <c r="L13" s="21">
        <f t="shared" ref="L13:L14" si="4">$C$6*E13</f>
        <v>53.302500000000002</v>
      </c>
      <c r="M13" s="21">
        <f t="shared" ref="M13:M14" si="5">$D$6*G13</f>
        <v>40.050000000000004</v>
      </c>
      <c r="N13" s="22">
        <f t="shared" ref="N13:N14" si="6">K13+L13+M13</f>
        <v>249.35250000000002</v>
      </c>
      <c r="O13" s="21">
        <f t="shared" ref="O13:O14" si="7">K13/N13</f>
        <v>0.62562035672391492</v>
      </c>
      <c r="P13" s="21">
        <f>L13/N13</f>
        <v>0.21376364784792612</v>
      </c>
      <c r="Q13" s="22">
        <f t="shared" ref="Q13:Q14" si="8">M13/N13</f>
        <v>0.16061599542815894</v>
      </c>
    </row>
    <row r="14" spans="2:17" x14ac:dyDescent="0.25">
      <c r="B14" s="36">
        <v>39263</v>
      </c>
      <c r="C14" s="9">
        <v>74.099999999999994</v>
      </c>
      <c r="D14" s="37">
        <f t="shared" si="0"/>
        <v>-5.0000000000000072E-2</v>
      </c>
      <c r="E14" s="9">
        <v>21.107790000000001</v>
      </c>
      <c r="F14" s="37">
        <f t="shared" si="1"/>
        <v>-1.0000000000000005E-2</v>
      </c>
      <c r="G14" s="38">
        <v>49.501800000000003</v>
      </c>
      <c r="H14" s="37">
        <f t="shared" si="2"/>
        <v>3.0000000000000013E-2</v>
      </c>
      <c r="I14" s="39">
        <f>I13*(1+J14)</f>
        <v>242.22097500000001</v>
      </c>
      <c r="J14" s="47">
        <f>O13*D14+P13*F14+Q13*H14</f>
        <v>-2.8600174451830288E-2</v>
      </c>
      <c r="K14" s="48">
        <f t="shared" si="3"/>
        <v>148.19999999999999</v>
      </c>
      <c r="L14" s="49">
        <f t="shared" si="4"/>
        <v>52.769475</v>
      </c>
      <c r="M14" s="49">
        <f t="shared" si="5"/>
        <v>41.251500000000007</v>
      </c>
      <c r="N14" s="50">
        <f t="shared" si="6"/>
        <v>242.22097500000001</v>
      </c>
      <c r="O14" s="49">
        <f t="shared" si="7"/>
        <v>0.61183801278976757</v>
      </c>
      <c r="P14" s="49">
        <f>L14/N14</f>
        <v>0.21785675249635172</v>
      </c>
      <c r="Q14" s="50">
        <f t="shared" si="8"/>
        <v>0.17030523471388059</v>
      </c>
    </row>
    <row r="18" spans="2:5" x14ac:dyDescent="0.25">
      <c r="B18" s="14"/>
      <c r="C18" s="14" t="s">
        <v>26</v>
      </c>
      <c r="E18" s="11">
        <f>(I14-I11)/I11</f>
        <v>0.21110487500000005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0" zoomScaleNormal="70" workbookViewId="0">
      <selection activeCell="L14" sqref="L14"/>
    </sheetView>
  </sheetViews>
  <sheetFormatPr baseColWidth="10" defaultRowHeight="15" x14ac:dyDescent="0.25"/>
  <sheetData>
    <row r="1" spans="1:7" ht="15.75" thickBot="1" x14ac:dyDescent="0.3"/>
    <row r="2" spans="1:7" ht="15.75" thickBot="1" x14ac:dyDescent="0.3">
      <c r="A2" s="53" t="s">
        <v>34</v>
      </c>
      <c r="B2" s="54" t="s">
        <v>35</v>
      </c>
      <c r="C2" s="54" t="s">
        <v>36</v>
      </c>
      <c r="D2" s="54" t="s">
        <v>37</v>
      </c>
      <c r="E2" s="54" t="s">
        <v>38</v>
      </c>
      <c r="F2" s="54" t="s">
        <v>39</v>
      </c>
      <c r="G2" s="55" t="s">
        <v>40</v>
      </c>
    </row>
    <row r="3" spans="1:7" x14ac:dyDescent="0.25">
      <c r="A3" s="5">
        <v>1</v>
      </c>
      <c r="B3" s="6">
        <v>0.3</v>
      </c>
      <c r="C3" s="6">
        <v>0.3</v>
      </c>
      <c r="D3" s="6">
        <v>0.36</v>
      </c>
      <c r="E3" s="6">
        <v>0.24</v>
      </c>
      <c r="F3" s="6">
        <v>0.52</v>
      </c>
      <c r="G3" s="7">
        <v>0.17</v>
      </c>
    </row>
    <row r="4" spans="1:7" x14ac:dyDescent="0.25">
      <c r="A4" s="5">
        <v>2</v>
      </c>
      <c r="B4" s="6">
        <v>7.0000000000000007E-2</v>
      </c>
      <c r="C4" s="6">
        <v>0.18</v>
      </c>
      <c r="D4" s="6">
        <v>0.14599999999999999</v>
      </c>
      <c r="E4" s="6">
        <v>0.12</v>
      </c>
      <c r="F4" s="6">
        <v>0.17</v>
      </c>
      <c r="G4" s="7">
        <v>0.1</v>
      </c>
    </row>
    <row r="5" spans="1:7" x14ac:dyDescent="0.25">
      <c r="A5" s="5">
        <v>3</v>
      </c>
      <c r="B5" s="6">
        <v>0.06</v>
      </c>
      <c r="C5" s="6">
        <v>0.12</v>
      </c>
      <c r="D5" s="6">
        <v>0.05</v>
      </c>
      <c r="E5" s="6">
        <v>1.2E-2</v>
      </c>
      <c r="F5" s="6">
        <v>0.14000000000000001</v>
      </c>
      <c r="G5" s="7">
        <v>0.05</v>
      </c>
    </row>
    <row r="6" spans="1:7" x14ac:dyDescent="0.25">
      <c r="A6" s="5">
        <v>4</v>
      </c>
      <c r="B6" s="6">
        <v>0.05</v>
      </c>
      <c r="C6" s="6">
        <v>0.06</v>
      </c>
      <c r="D6" s="6">
        <v>3.5999999999999997E-2</v>
      </c>
      <c r="E6" s="6">
        <v>1.4999999999999999E-2</v>
      </c>
      <c r="F6" s="6">
        <v>0.04</v>
      </c>
      <c r="G6" s="7">
        <v>0.1</v>
      </c>
    </row>
    <row r="7" spans="1:7" ht="15.75" thickBot="1" x14ac:dyDescent="0.3">
      <c r="A7" s="8">
        <v>5</v>
      </c>
      <c r="B7" s="51">
        <v>0.15</v>
      </c>
      <c r="C7" s="51">
        <v>0.22</v>
      </c>
      <c r="D7" s="51">
        <v>0.06</v>
      </c>
      <c r="E7" s="51">
        <v>1.0800000000000001E-2</v>
      </c>
      <c r="F7" s="51">
        <v>0.1</v>
      </c>
      <c r="G7" s="52">
        <v>0.04</v>
      </c>
    </row>
    <row r="9" spans="1:7" s="21" customFormat="1" x14ac:dyDescent="0.25"/>
    <row r="10" spans="1:7" s="21" customFormat="1" x14ac:dyDescent="0.25">
      <c r="A10" s="6"/>
      <c r="B10" s="6" t="s">
        <v>59</v>
      </c>
      <c r="C10" s="6" t="s">
        <v>60</v>
      </c>
      <c r="D10" s="6" t="s">
        <v>61</v>
      </c>
      <c r="E10" s="6" t="s">
        <v>62</v>
      </c>
    </row>
    <row r="11" spans="1:7" s="21" customFormat="1" x14ac:dyDescent="0.25">
      <c r="A11" s="6">
        <v>1</v>
      </c>
      <c r="B11" s="6">
        <f>B3-0.05</f>
        <v>0.25</v>
      </c>
      <c r="C11" s="6">
        <f>C3-0.05</f>
        <v>0.25</v>
      </c>
      <c r="D11" s="6">
        <f>D3-E3</f>
        <v>0.12</v>
      </c>
      <c r="E11" s="6">
        <f>F3-G3</f>
        <v>0.35</v>
      </c>
    </row>
    <row r="12" spans="1:7" s="21" customFormat="1" x14ac:dyDescent="0.25">
      <c r="A12" s="6">
        <v>2</v>
      </c>
      <c r="B12" s="6">
        <f t="shared" ref="B12:C15" si="0">B4-0.05</f>
        <v>2.0000000000000004E-2</v>
      </c>
      <c r="C12" s="6">
        <f t="shared" si="0"/>
        <v>0.13</v>
      </c>
      <c r="D12" s="6">
        <f t="shared" ref="D12:D15" si="1">D4-E4</f>
        <v>2.5999999999999995E-2</v>
      </c>
      <c r="E12" s="6">
        <f t="shared" ref="E12:E15" si="2">F4-G4</f>
        <v>7.0000000000000007E-2</v>
      </c>
    </row>
    <row r="13" spans="1:7" s="21" customFormat="1" x14ac:dyDescent="0.25">
      <c r="A13" s="6">
        <v>3</v>
      </c>
      <c r="B13" s="6">
        <f t="shared" si="0"/>
        <v>9.999999999999995E-3</v>
      </c>
      <c r="C13" s="6">
        <f t="shared" si="0"/>
        <v>6.9999999999999993E-2</v>
      </c>
      <c r="D13" s="6">
        <f t="shared" si="1"/>
        <v>3.8000000000000006E-2</v>
      </c>
      <c r="E13" s="6">
        <f t="shared" si="2"/>
        <v>9.0000000000000011E-2</v>
      </c>
    </row>
    <row r="14" spans="1:7" s="21" customFormat="1" x14ac:dyDescent="0.25">
      <c r="A14" s="6">
        <v>4</v>
      </c>
      <c r="B14" s="6">
        <f t="shared" si="0"/>
        <v>0</v>
      </c>
      <c r="C14" s="6">
        <f t="shared" si="0"/>
        <v>9.999999999999995E-3</v>
      </c>
      <c r="D14" s="6">
        <f t="shared" si="1"/>
        <v>2.0999999999999998E-2</v>
      </c>
      <c r="E14" s="6">
        <f t="shared" si="2"/>
        <v>-6.0000000000000005E-2</v>
      </c>
    </row>
    <row r="15" spans="1:7" s="21" customFormat="1" x14ac:dyDescent="0.25">
      <c r="A15" s="6">
        <v>5</v>
      </c>
      <c r="B15" s="6">
        <f t="shared" si="0"/>
        <v>9.9999999999999992E-2</v>
      </c>
      <c r="C15" s="6">
        <f t="shared" si="0"/>
        <v>0.16999999999999998</v>
      </c>
      <c r="D15" s="6">
        <f t="shared" si="1"/>
        <v>4.9199999999999994E-2</v>
      </c>
      <c r="E15" s="6">
        <f t="shared" si="2"/>
        <v>6.0000000000000005E-2</v>
      </c>
    </row>
    <row r="16" spans="1:7" s="21" customFormat="1" x14ac:dyDescent="0.25">
      <c r="A16" s="21" t="s">
        <v>67</v>
      </c>
      <c r="B16" s="60">
        <f>AVERAGE(B11:B15)</f>
        <v>7.5999999999999998E-2</v>
      </c>
      <c r="C16" s="60">
        <f t="shared" ref="C16:E16" si="3">AVERAGE(C11:C15)</f>
        <v>0.126</v>
      </c>
      <c r="D16" s="60">
        <f t="shared" si="3"/>
        <v>5.0839999999999996E-2</v>
      </c>
      <c r="E16" s="60">
        <f t="shared" si="3"/>
        <v>0.10200000000000001</v>
      </c>
    </row>
    <row r="18" spans="2:3" x14ac:dyDescent="0.25">
      <c r="B18" t="s">
        <v>63</v>
      </c>
      <c r="C18">
        <v>0.42699999999999999</v>
      </c>
    </row>
    <row r="19" spans="2:3" x14ac:dyDescent="0.25">
      <c r="B19" t="s">
        <v>64</v>
      </c>
      <c r="C19">
        <v>3.0238999999999998</v>
      </c>
    </row>
    <row r="20" spans="2:3" x14ac:dyDescent="0.25">
      <c r="B20" t="s">
        <v>65</v>
      </c>
      <c r="C20">
        <f>-0.3652</f>
        <v>-0.36520000000000002</v>
      </c>
    </row>
    <row r="23" spans="2:3" x14ac:dyDescent="0.25">
      <c r="B23" t="s">
        <v>66</v>
      </c>
      <c r="C23" s="15">
        <f>0.05+1.25*AVERAGE(C11:C15)+1.4*AVERAGE(D11:D15)+0.15*AVERAGE(E11:E15)</f>
        <v>0.29397600000000002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60" zoomScaleNormal="60" workbookViewId="0">
      <selection activeCell="P2" sqref="P2"/>
    </sheetView>
  </sheetViews>
  <sheetFormatPr baseColWidth="10" defaultRowHeight="15" x14ac:dyDescent="0.25"/>
  <cols>
    <col min="5" max="5" width="14.85546875" customWidth="1"/>
    <col min="6" max="6" width="14.42578125" bestFit="1" customWidth="1"/>
  </cols>
  <sheetData>
    <row r="1" spans="1:8" s="69" customFormat="1" x14ac:dyDescent="0.25">
      <c r="A1" s="69">
        <v>1990</v>
      </c>
    </row>
    <row r="2" spans="1:8" s="69" customFormat="1" ht="15.75" thickBot="1" x14ac:dyDescent="0.3"/>
    <row r="3" spans="1:8" s="69" customFormat="1" ht="15.75" thickBot="1" x14ac:dyDescent="0.3">
      <c r="A3" s="70" t="s">
        <v>41</v>
      </c>
      <c r="B3" s="71" t="s">
        <v>42</v>
      </c>
      <c r="C3" s="71" t="s">
        <v>43</v>
      </c>
      <c r="D3" s="71" t="s">
        <v>44</v>
      </c>
      <c r="E3" s="71" t="s">
        <v>45</v>
      </c>
      <c r="F3" s="72" t="s">
        <v>46</v>
      </c>
      <c r="H3" s="73" t="s">
        <v>185</v>
      </c>
    </row>
    <row r="4" spans="1:8" s="69" customFormat="1" x14ac:dyDescent="0.25">
      <c r="A4" s="74">
        <v>1</v>
      </c>
      <c r="B4" s="73">
        <v>1.2E-2</v>
      </c>
      <c r="C4" s="73">
        <v>2.5000000000000001E-2</v>
      </c>
      <c r="D4" s="73">
        <v>1.4999999999999999E-2</v>
      </c>
      <c r="E4" s="73">
        <v>0.03</v>
      </c>
      <c r="F4" s="75">
        <v>3.5000000000000003E-2</v>
      </c>
    </row>
    <row r="5" spans="1:8" s="69" customFormat="1" x14ac:dyDescent="0.25">
      <c r="A5" s="74">
        <v>2</v>
      </c>
      <c r="B5" s="73">
        <v>4.4999999999999998E-2</v>
      </c>
      <c r="C5" s="73">
        <v>5.8999999999999997E-2</v>
      </c>
      <c r="D5" s="73">
        <v>2.8000000000000001E-2</v>
      </c>
      <c r="E5" s="73">
        <v>2.5999999999999999E-2</v>
      </c>
      <c r="F5" s="75">
        <v>1E-3</v>
      </c>
    </row>
    <row r="6" spans="1:8" s="69" customFormat="1" x14ac:dyDescent="0.25">
      <c r="A6" s="74">
        <v>3</v>
      </c>
      <c r="B6" s="73">
        <v>8.9999999999999993E-3</v>
      </c>
      <c r="C6" s="73">
        <v>-2.3E-2</v>
      </c>
      <c r="D6" s="73">
        <v>1.2999999999999999E-2</v>
      </c>
      <c r="E6" s="73">
        <v>1.4999999999999999E-2</v>
      </c>
      <c r="F6" s="75">
        <v>5.0000000000000001E-3</v>
      </c>
    </row>
    <row r="7" spans="1:8" s="69" customFormat="1" x14ac:dyDescent="0.25">
      <c r="A7" s="74">
        <v>4</v>
      </c>
      <c r="B7" s="73">
        <v>2E-3</v>
      </c>
      <c r="C7" s="73">
        <v>4.0000000000000001E-3</v>
      </c>
      <c r="D7" s="73">
        <v>2E-3</v>
      </c>
      <c r="E7" s="73">
        <v>5.0000000000000001E-3</v>
      </c>
      <c r="F7" s="75">
        <v>2.1000000000000001E-2</v>
      </c>
    </row>
    <row r="8" spans="1:8" s="69" customFormat="1" ht="15.75" thickBot="1" x14ac:dyDescent="0.3">
      <c r="A8" s="76">
        <v>5</v>
      </c>
      <c r="B8" s="77">
        <v>2E-3</v>
      </c>
      <c r="C8" s="77">
        <v>-2.9000000000000001E-2</v>
      </c>
      <c r="D8" s="77">
        <v>5.0000000000000001E-3</v>
      </c>
      <c r="E8" s="77">
        <v>1E-3</v>
      </c>
      <c r="F8" s="78">
        <v>8.9999999999999993E-3</v>
      </c>
    </row>
    <row r="9" spans="1:8" s="69" customFormat="1" x14ac:dyDescent="0.25">
      <c r="A9" s="69" t="s">
        <v>78</v>
      </c>
      <c r="B9" s="69">
        <f>AVERAGE(B4:B8)</f>
        <v>1.3999999999999999E-2</v>
      </c>
      <c r="C9" s="69">
        <f t="shared" ref="C9:E9" si="0">AVERAGE(C4:C8)</f>
        <v>7.1999999999999981E-3</v>
      </c>
      <c r="D9" s="69">
        <f t="shared" si="0"/>
        <v>1.26E-2</v>
      </c>
      <c r="E9" s="69">
        <f t="shared" si="0"/>
        <v>1.54E-2</v>
      </c>
      <c r="F9" s="69">
        <f>AVERAGE(F4:F8)</f>
        <v>1.4199999999999999E-2</v>
      </c>
      <c r="H9" s="69">
        <v>1.057E-2</v>
      </c>
    </row>
    <row r="10" spans="1:8" s="2" customFormat="1" x14ac:dyDescent="0.25">
      <c r="A10" s="62">
        <v>1991</v>
      </c>
    </row>
    <row r="11" spans="1:8" s="2" customFormat="1" ht="15.75" thickBot="1" x14ac:dyDescent="0.3"/>
    <row r="12" spans="1:8" s="2" customFormat="1" ht="15.75" thickBot="1" x14ac:dyDescent="0.3">
      <c r="B12" s="63" t="s">
        <v>42</v>
      </c>
      <c r="C12" s="64" t="s">
        <v>43</v>
      </c>
      <c r="D12" s="64" t="s">
        <v>44</v>
      </c>
      <c r="E12" s="64" t="s">
        <v>45</v>
      </c>
      <c r="F12" s="65" t="s">
        <v>46</v>
      </c>
    </row>
    <row r="13" spans="1:8" s="2" customFormat="1" ht="15.75" thickBot="1" x14ac:dyDescent="0.3">
      <c r="B13" s="66">
        <v>1.6899999999999998E-2</v>
      </c>
      <c r="C13" s="67">
        <v>8.0000000000000002E-3</v>
      </c>
      <c r="D13" s="67">
        <v>1.6E-2</v>
      </c>
      <c r="E13" s="67">
        <v>1.2E-2</v>
      </c>
      <c r="F13" s="68">
        <v>1.4E-2</v>
      </c>
      <c r="H13" s="2">
        <f>0.012</f>
        <v>1.2E-2</v>
      </c>
    </row>
    <row r="14" spans="1:8" s="2" customFormat="1" x14ac:dyDescent="0.25"/>
    <row r="17" spans="1:11" x14ac:dyDescent="0.25">
      <c r="A17" t="s">
        <v>196</v>
      </c>
    </row>
    <row r="18" spans="1:11" x14ac:dyDescent="0.25">
      <c r="A18" t="s">
        <v>68</v>
      </c>
      <c r="F18" s="14">
        <f>0.7*B13+0.3*E13</f>
        <v>1.5429999999999999E-2</v>
      </c>
      <c r="G18" t="s">
        <v>69</v>
      </c>
      <c r="K18" t="s">
        <v>70</v>
      </c>
    </row>
    <row r="20" spans="1:11" x14ac:dyDescent="0.25">
      <c r="A20" s="61" t="s">
        <v>71</v>
      </c>
    </row>
    <row r="21" spans="1:11" x14ac:dyDescent="0.25">
      <c r="A21" t="s">
        <v>197</v>
      </c>
    </row>
    <row r="22" spans="1:11" x14ac:dyDescent="0.25">
      <c r="A22" t="s">
        <v>198</v>
      </c>
    </row>
    <row r="23" spans="1:11" x14ac:dyDescent="0.25">
      <c r="A23" t="s">
        <v>72</v>
      </c>
      <c r="D23" t="s">
        <v>73</v>
      </c>
    </row>
    <row r="24" spans="1:11" x14ac:dyDescent="0.25">
      <c r="A24" t="s">
        <v>74</v>
      </c>
      <c r="E24" t="s">
        <v>75</v>
      </c>
    </row>
    <row r="25" spans="1:11" x14ac:dyDescent="0.25">
      <c r="A25" t="s">
        <v>76</v>
      </c>
      <c r="D25" t="s">
        <v>77</v>
      </c>
    </row>
    <row r="27" spans="1:11" x14ac:dyDescent="0.25">
      <c r="A27" t="s">
        <v>199</v>
      </c>
    </row>
    <row r="28" spans="1:11" x14ac:dyDescent="0.25">
      <c r="A28" t="s">
        <v>200</v>
      </c>
    </row>
    <row r="29" spans="1:11" x14ac:dyDescent="0.25">
      <c r="A29" t="s">
        <v>201</v>
      </c>
    </row>
    <row r="31" spans="1:11" x14ac:dyDescent="0.25">
      <c r="A31" t="s">
        <v>79</v>
      </c>
    </row>
    <row r="32" spans="1:11" x14ac:dyDescent="0.25">
      <c r="A32" t="s">
        <v>80</v>
      </c>
      <c r="B32">
        <v>0.48</v>
      </c>
    </row>
    <row r="33" spans="1:2" x14ac:dyDescent="0.25">
      <c r="A33" t="s">
        <v>81</v>
      </c>
      <c r="B33">
        <v>0.3</v>
      </c>
    </row>
    <row r="34" spans="1:2" x14ac:dyDescent="0.25">
      <c r="A34" t="s">
        <v>82</v>
      </c>
      <c r="B34">
        <v>0.18</v>
      </c>
    </row>
    <row r="35" spans="1:2" x14ac:dyDescent="0.25">
      <c r="A35" t="s">
        <v>83</v>
      </c>
      <c r="B35">
        <v>0.04</v>
      </c>
    </row>
    <row r="37" spans="1:2" x14ac:dyDescent="0.25">
      <c r="A37" t="s">
        <v>202</v>
      </c>
    </row>
    <row r="38" spans="1:2" x14ac:dyDescent="0.25">
      <c r="A38">
        <f>B32*C13+B33*D13+B34*E13+B35*F13</f>
        <v>1.136E-2</v>
      </c>
    </row>
    <row r="39" spans="1:2" x14ac:dyDescent="0.25">
      <c r="A39" t="s">
        <v>203</v>
      </c>
    </row>
    <row r="40" spans="1:2" x14ac:dyDescent="0.25">
      <c r="A40" s="79">
        <f>1.2%-1.136%</f>
        <v>6.4000000000000168E-4</v>
      </c>
    </row>
    <row r="41" spans="1:2" x14ac:dyDescent="0.25">
      <c r="A41" t="s">
        <v>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0"/>
  <sheetViews>
    <sheetView zoomScale="50" zoomScaleNormal="50" workbookViewId="0">
      <selection activeCell="S41" sqref="S41"/>
    </sheetView>
  </sheetViews>
  <sheetFormatPr baseColWidth="10" defaultRowHeight="15" x14ac:dyDescent="0.25"/>
  <cols>
    <col min="2" max="2" width="13.5703125" bestFit="1" customWidth="1"/>
    <col min="3" max="3" width="16.28515625" bestFit="1" customWidth="1"/>
    <col min="4" max="4" width="16.28515625" customWidth="1"/>
    <col min="5" max="6" width="20.85546875" bestFit="1" customWidth="1"/>
    <col min="7" max="7" width="18.85546875" bestFit="1" customWidth="1"/>
  </cols>
  <sheetData>
    <row r="4" spans="1:8" x14ac:dyDescent="0.25">
      <c r="C4" t="s">
        <v>205</v>
      </c>
    </row>
    <row r="8" spans="1:8" ht="15.75" thickBot="1" x14ac:dyDescent="0.3"/>
    <row r="9" spans="1:8" ht="15.75" thickBot="1" x14ac:dyDescent="0.3">
      <c r="A9" s="53" t="s">
        <v>47</v>
      </c>
      <c r="B9" s="54" t="s">
        <v>48</v>
      </c>
      <c r="C9" s="55" t="s">
        <v>49</v>
      </c>
      <c r="D9" s="6" t="s">
        <v>85</v>
      </c>
      <c r="E9" s="60" t="s">
        <v>36</v>
      </c>
      <c r="F9" s="60" t="s">
        <v>84</v>
      </c>
      <c r="G9" s="60" t="s">
        <v>86</v>
      </c>
      <c r="H9" s="60" t="s">
        <v>87</v>
      </c>
    </row>
    <row r="10" spans="1:8" x14ac:dyDescent="0.25">
      <c r="A10" s="5">
        <v>-5</v>
      </c>
      <c r="B10" s="6">
        <v>250</v>
      </c>
      <c r="C10" s="7">
        <v>1100</v>
      </c>
      <c r="D10" s="6"/>
    </row>
    <row r="11" spans="1:8" x14ac:dyDescent="0.25">
      <c r="A11" s="5">
        <v>-4</v>
      </c>
      <c r="B11" s="6">
        <v>255</v>
      </c>
      <c r="C11" s="7">
        <v>1125</v>
      </c>
      <c r="D11">
        <f>(B11-B10)/B10</f>
        <v>0.02</v>
      </c>
      <c r="E11">
        <f>(C11-C10)/C10</f>
        <v>2.2727272727272728E-2</v>
      </c>
      <c r="F11">
        <f>0.0143%+0.3*(E11-0.0143%)</f>
        <v>6.9182818181818175E-3</v>
      </c>
      <c r="G11">
        <f>D11-F11</f>
        <v>1.3081718181818183E-2</v>
      </c>
      <c r="H11">
        <f>G11</f>
        <v>1.3081718181818183E-2</v>
      </c>
    </row>
    <row r="12" spans="1:8" x14ac:dyDescent="0.25">
      <c r="A12" s="5">
        <v>-3</v>
      </c>
      <c r="B12" s="6">
        <v>258</v>
      </c>
      <c r="C12" s="7">
        <v>1157</v>
      </c>
      <c r="D12">
        <f t="shared" ref="D12:D19" si="0">(B12-B11)/B11</f>
        <v>1.1764705882352941E-2</v>
      </c>
      <c r="E12">
        <f t="shared" ref="E12:E19" si="1">(C12-C11)/C11</f>
        <v>2.8444444444444446E-2</v>
      </c>
      <c r="F12">
        <f t="shared" ref="F12:F19" si="2">0.0143%+0.3*(E12-0.0143%)</f>
        <v>8.6334333333333343E-3</v>
      </c>
      <c r="G12">
        <f t="shared" ref="G12:G19" si="3">D12-F12</f>
        <v>3.1312725490196067E-3</v>
      </c>
      <c r="H12">
        <f>H11+G12</f>
        <v>1.621299073083779E-2</v>
      </c>
    </row>
    <row r="13" spans="1:8" x14ac:dyDescent="0.25">
      <c r="A13" s="5">
        <v>-2</v>
      </c>
      <c r="B13" s="6">
        <v>259</v>
      </c>
      <c r="C13" s="7">
        <v>1175</v>
      </c>
      <c r="D13">
        <f t="shared" si="0"/>
        <v>3.875968992248062E-3</v>
      </c>
      <c r="E13">
        <f t="shared" si="1"/>
        <v>1.5557476231633534E-2</v>
      </c>
      <c r="F13">
        <f t="shared" si="2"/>
        <v>4.7673428694900597E-3</v>
      </c>
      <c r="G13">
        <f t="shared" si="3"/>
        <v>-8.9137387724199778E-4</v>
      </c>
      <c r="H13">
        <f t="shared" ref="H13:H19" si="4">H12+G13</f>
        <v>1.5321616853595791E-2</v>
      </c>
    </row>
    <row r="14" spans="1:8" x14ac:dyDescent="0.25">
      <c r="A14" s="5">
        <v>-1</v>
      </c>
      <c r="B14" s="6">
        <v>262</v>
      </c>
      <c r="C14" s="7">
        <v>1199</v>
      </c>
      <c r="D14">
        <f t="shared" si="0"/>
        <v>1.1583011583011582E-2</v>
      </c>
      <c r="E14">
        <f t="shared" si="1"/>
        <v>2.0425531914893616E-2</v>
      </c>
      <c r="F14">
        <f t="shared" si="2"/>
        <v>6.2277595744680845E-3</v>
      </c>
      <c r="G14">
        <f t="shared" si="3"/>
        <v>5.355252008543498E-3</v>
      </c>
      <c r="H14">
        <f t="shared" si="4"/>
        <v>2.0676868862139288E-2</v>
      </c>
    </row>
    <row r="15" spans="1:8" x14ac:dyDescent="0.25">
      <c r="A15" s="5">
        <v>0</v>
      </c>
      <c r="B15" s="6">
        <v>264</v>
      </c>
      <c r="C15" s="7">
        <v>1223</v>
      </c>
      <c r="D15">
        <f t="shared" si="0"/>
        <v>7.6335877862595417E-3</v>
      </c>
      <c r="E15">
        <f t="shared" si="1"/>
        <v>2.0016680567139282E-2</v>
      </c>
      <c r="F15">
        <f t="shared" si="2"/>
        <v>6.1051041701417844E-3</v>
      </c>
      <c r="G15">
        <f t="shared" si="3"/>
        <v>1.5284836161177573E-3</v>
      </c>
      <c r="H15">
        <f t="shared" si="4"/>
        <v>2.2205352478257046E-2</v>
      </c>
    </row>
    <row r="16" spans="1:8" x14ac:dyDescent="0.25">
      <c r="A16" s="5">
        <v>1</v>
      </c>
      <c r="B16" s="6">
        <v>264</v>
      </c>
      <c r="C16" s="7">
        <v>1235</v>
      </c>
      <c r="D16">
        <f t="shared" si="0"/>
        <v>0</v>
      </c>
      <c r="E16">
        <f t="shared" si="1"/>
        <v>9.8119378577269014E-3</v>
      </c>
      <c r="F16">
        <f t="shared" si="2"/>
        <v>3.04368135731807E-3</v>
      </c>
      <c r="G16">
        <f t="shared" si="3"/>
        <v>-3.04368135731807E-3</v>
      </c>
      <c r="H16">
        <f t="shared" si="4"/>
        <v>1.9161671120938976E-2</v>
      </c>
    </row>
    <row r="17" spans="1:8" x14ac:dyDescent="0.25">
      <c r="A17" s="5">
        <v>2</v>
      </c>
      <c r="B17" s="6">
        <v>266</v>
      </c>
      <c r="C17" s="7">
        <v>1272</v>
      </c>
      <c r="D17">
        <f t="shared" si="0"/>
        <v>7.575757575757576E-3</v>
      </c>
      <c r="E17">
        <f t="shared" si="1"/>
        <v>2.9959514170040485E-2</v>
      </c>
      <c r="F17">
        <f t="shared" si="2"/>
        <v>9.0879542510121456E-3</v>
      </c>
      <c r="G17">
        <f t="shared" si="3"/>
        <v>-1.5121966752545696E-3</v>
      </c>
      <c r="H17">
        <f t="shared" si="4"/>
        <v>1.7649474445684404E-2</v>
      </c>
    </row>
    <row r="18" spans="1:8" x14ac:dyDescent="0.25">
      <c r="A18" s="5">
        <v>3</v>
      </c>
      <c r="B18" s="6">
        <v>267</v>
      </c>
      <c r="C18" s="7">
        <v>1298</v>
      </c>
      <c r="D18">
        <f t="shared" si="0"/>
        <v>3.7593984962406013E-3</v>
      </c>
      <c r="E18">
        <f t="shared" si="1"/>
        <v>2.0440251572327043E-2</v>
      </c>
      <c r="F18">
        <f t="shared" si="2"/>
        <v>6.2321754716981124E-3</v>
      </c>
      <c r="G18">
        <f t="shared" si="3"/>
        <v>-2.4727769754575111E-3</v>
      </c>
      <c r="H18">
        <f t="shared" si="4"/>
        <v>1.5176697470226893E-2</v>
      </c>
    </row>
    <row r="19" spans="1:8" x14ac:dyDescent="0.25">
      <c r="A19" s="5">
        <v>4</v>
      </c>
      <c r="B19" s="6">
        <v>267</v>
      </c>
      <c r="C19" s="7">
        <v>1311</v>
      </c>
      <c r="D19">
        <f t="shared" si="0"/>
        <v>0</v>
      </c>
      <c r="E19">
        <f t="shared" si="1"/>
        <v>1.0015408320493066E-2</v>
      </c>
      <c r="F19">
        <f t="shared" si="2"/>
        <v>3.1047224961479195E-3</v>
      </c>
      <c r="G19">
        <f t="shared" si="3"/>
        <v>-3.1047224961479195E-3</v>
      </c>
      <c r="H19">
        <f t="shared" si="4"/>
        <v>1.2071974974078973E-2</v>
      </c>
    </row>
    <row r="20" spans="1:8" ht="15.75" thickBot="1" x14ac:dyDescent="0.3">
      <c r="A20" s="8">
        <v>5</v>
      </c>
      <c r="B20" s="51">
        <v>266</v>
      </c>
      <c r="C20" s="52">
        <v>1337</v>
      </c>
    </row>
    <row r="22" spans="1:8" x14ac:dyDescent="0.25">
      <c r="E22" t="s">
        <v>88</v>
      </c>
    </row>
    <row r="23" spans="1:8" ht="15.75" thickBot="1" x14ac:dyDescent="0.3"/>
    <row r="24" spans="1:8" ht="15.75" thickBot="1" x14ac:dyDescent="0.3">
      <c r="A24" s="53" t="s">
        <v>47</v>
      </c>
      <c r="B24" s="55" t="s">
        <v>50</v>
      </c>
    </row>
    <row r="25" spans="1:8" x14ac:dyDescent="0.25">
      <c r="A25" s="5">
        <v>-5</v>
      </c>
      <c r="B25" s="7">
        <v>20</v>
      </c>
    </row>
    <row r="26" spans="1:8" x14ac:dyDescent="0.25">
      <c r="A26" s="5">
        <v>-4</v>
      </c>
      <c r="B26" s="7">
        <v>30</v>
      </c>
    </row>
    <row r="27" spans="1:8" x14ac:dyDescent="0.25">
      <c r="A27" s="5">
        <v>-3</v>
      </c>
      <c r="B27" s="7">
        <v>35</v>
      </c>
    </row>
    <row r="28" spans="1:8" x14ac:dyDescent="0.25">
      <c r="A28" s="5">
        <v>-2</v>
      </c>
      <c r="B28" s="7">
        <v>45</v>
      </c>
    </row>
    <row r="29" spans="1:8" x14ac:dyDescent="0.25">
      <c r="A29" s="5">
        <v>-1</v>
      </c>
      <c r="B29" s="7">
        <v>55</v>
      </c>
    </row>
    <row r="30" spans="1:8" x14ac:dyDescent="0.25">
      <c r="A30" s="5">
        <v>0</v>
      </c>
      <c r="B30" s="7">
        <v>60</v>
      </c>
    </row>
    <row r="31" spans="1:8" x14ac:dyDescent="0.25">
      <c r="A31" s="5">
        <v>1</v>
      </c>
      <c r="B31" s="7">
        <v>30</v>
      </c>
    </row>
    <row r="32" spans="1:8" x14ac:dyDescent="0.25">
      <c r="A32" s="5">
        <v>2</v>
      </c>
      <c r="B32" s="7">
        <v>29</v>
      </c>
    </row>
    <row r="33" spans="1:2" x14ac:dyDescent="0.25">
      <c r="A33" s="5">
        <v>3</v>
      </c>
      <c r="B33" s="7">
        <v>25</v>
      </c>
    </row>
    <row r="34" spans="1:2" x14ac:dyDescent="0.25">
      <c r="A34" s="5">
        <v>4</v>
      </c>
      <c r="B34" s="7">
        <v>27</v>
      </c>
    </row>
    <row r="35" spans="1:2" ht="15.75" thickBot="1" x14ac:dyDescent="0.3">
      <c r="A35" s="8">
        <v>5</v>
      </c>
      <c r="B35" s="52">
        <v>24</v>
      </c>
    </row>
    <row r="38" spans="1:2" x14ac:dyDescent="0.25">
      <c r="A38" t="s">
        <v>206</v>
      </c>
    </row>
    <row r="39" spans="1:2" x14ac:dyDescent="0.25">
      <c r="A39" t="s">
        <v>207</v>
      </c>
    </row>
    <row r="40" spans="1:2" x14ac:dyDescent="0.25">
      <c r="A40" t="s">
        <v>208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8"/>
  <sheetViews>
    <sheetView zoomScale="70" zoomScaleNormal="70" workbookViewId="0">
      <selection activeCell="K38" sqref="K38"/>
    </sheetView>
  </sheetViews>
  <sheetFormatPr baseColWidth="10" defaultRowHeight="15" x14ac:dyDescent="0.25"/>
  <cols>
    <col min="3" max="3" width="14.42578125" customWidth="1"/>
    <col min="9" max="9" width="13.28515625" bestFit="1" customWidth="1"/>
    <col min="13" max="13" width="11.5703125" bestFit="1" customWidth="1"/>
  </cols>
  <sheetData>
    <row r="3" spans="1:14" ht="15.75" thickBot="1" x14ac:dyDescent="0.3"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</row>
    <row r="4" spans="1:14" ht="15.75" thickBot="1" x14ac:dyDescent="0.3">
      <c r="A4" s="53" t="s">
        <v>51</v>
      </c>
      <c r="B4" s="54" t="s">
        <v>53</v>
      </c>
      <c r="C4" s="55" t="s">
        <v>54</v>
      </c>
      <c r="I4">
        <v>1</v>
      </c>
      <c r="J4">
        <f>-0.7</f>
        <v>-0.7</v>
      </c>
      <c r="K4">
        <f>1-J4</f>
        <v>1.7</v>
      </c>
      <c r="L4">
        <f>J4*$B$5+K4*$B$6</f>
        <v>0.28300000000000003</v>
      </c>
      <c r="M4" s="84">
        <f>SQRT((J4^2*$C$5^2)+(K4^2*$C$6^2)+(2*J4*K4*$C$5*$C$6*0))</f>
        <v>0.24619707553096565</v>
      </c>
      <c r="N4">
        <f>(L4-7.5%)/M4</f>
        <v>0.84485162771090128</v>
      </c>
    </row>
    <row r="5" spans="1:14" x14ac:dyDescent="0.25">
      <c r="A5" s="5" t="s">
        <v>0</v>
      </c>
      <c r="B5" s="56">
        <v>0.13</v>
      </c>
      <c r="C5" s="57">
        <v>0.09</v>
      </c>
      <c r="I5">
        <v>2</v>
      </c>
      <c r="J5">
        <f>-0.6</f>
        <v>-0.6</v>
      </c>
      <c r="K5">
        <f t="shared" ref="K5:K21" si="0">1-J5</f>
        <v>1.6</v>
      </c>
      <c r="L5">
        <f t="shared" ref="L5:L21" si="1">J5*$B$5+K5*$B$6</f>
        <v>0.27400000000000002</v>
      </c>
      <c r="M5" s="84">
        <f t="shared" ref="M5:M21" si="2">SQRT((J5^2*$C$5^2)+(K5^2*$C$6^2)+(2*J5*K5*$C$5*$C$6*0))</f>
        <v>0.23041701326073996</v>
      </c>
      <c r="N5">
        <f t="shared" ref="N5:N21" si="3">(L5-7.5%)/M5</f>
        <v>0.86365150378375732</v>
      </c>
    </row>
    <row r="6" spans="1:14" x14ac:dyDescent="0.25">
      <c r="A6" s="5" t="s">
        <v>1</v>
      </c>
      <c r="B6" s="56">
        <v>0.22</v>
      </c>
      <c r="C6" s="57">
        <v>0.14000000000000001</v>
      </c>
      <c r="I6">
        <v>3</v>
      </c>
      <c r="J6">
        <f>-0.5</f>
        <v>-0.5</v>
      </c>
      <c r="K6">
        <f t="shared" si="0"/>
        <v>1.5</v>
      </c>
      <c r="L6">
        <f t="shared" si="1"/>
        <v>0.26500000000000001</v>
      </c>
      <c r="M6" s="84">
        <f t="shared" si="2"/>
        <v>0.2147673159491453</v>
      </c>
      <c r="N6">
        <f t="shared" si="3"/>
        <v>0.8846783746414657</v>
      </c>
    </row>
    <row r="7" spans="1:14" ht="15.75" thickBot="1" x14ac:dyDescent="0.3">
      <c r="A7" s="8" t="s">
        <v>52</v>
      </c>
      <c r="B7" s="58">
        <v>7.4999999999999997E-2</v>
      </c>
      <c r="C7" s="59">
        <v>0</v>
      </c>
      <c r="I7">
        <v>4</v>
      </c>
      <c r="J7">
        <f>J6+0.1</f>
        <v>-0.4</v>
      </c>
      <c r="K7">
        <f t="shared" si="0"/>
        <v>1.4</v>
      </c>
      <c r="L7">
        <f t="shared" si="1"/>
        <v>0.25600000000000001</v>
      </c>
      <c r="M7" s="84">
        <f t="shared" si="2"/>
        <v>0.19927869931329839</v>
      </c>
      <c r="N7">
        <f t="shared" si="3"/>
        <v>0.90827569942856101</v>
      </c>
    </row>
    <row r="8" spans="1:14" x14ac:dyDescent="0.25">
      <c r="I8">
        <v>5</v>
      </c>
      <c r="J8">
        <f t="shared" ref="J8:J21" si="4">J7+0.1</f>
        <v>-0.30000000000000004</v>
      </c>
      <c r="K8">
        <f t="shared" si="0"/>
        <v>1.3</v>
      </c>
      <c r="L8">
        <f t="shared" si="1"/>
        <v>0.24700000000000003</v>
      </c>
      <c r="M8" s="84">
        <f t="shared" si="2"/>
        <v>0.18399184764548676</v>
      </c>
      <c r="N8">
        <f t="shared" si="3"/>
        <v>0.93482402726564029</v>
      </c>
    </row>
    <row r="9" spans="1:14" x14ac:dyDescent="0.25">
      <c r="I9">
        <v>6</v>
      </c>
      <c r="J9">
        <f t="shared" si="4"/>
        <v>-0.20000000000000004</v>
      </c>
      <c r="K9">
        <f t="shared" si="0"/>
        <v>1.2</v>
      </c>
      <c r="L9">
        <f t="shared" si="1"/>
        <v>0.23800000000000002</v>
      </c>
      <c r="M9" s="84">
        <f t="shared" si="2"/>
        <v>0.16896153408394468</v>
      </c>
      <c r="N9">
        <f t="shared" si="3"/>
        <v>0.96471661957695776</v>
      </c>
    </row>
    <row r="10" spans="1:14" x14ac:dyDescent="0.25">
      <c r="I10">
        <v>7</v>
      </c>
      <c r="J10">
        <f t="shared" si="4"/>
        <v>-0.10000000000000003</v>
      </c>
      <c r="K10">
        <f t="shared" si="0"/>
        <v>1.1000000000000001</v>
      </c>
      <c r="L10">
        <f t="shared" si="1"/>
        <v>0.22900000000000001</v>
      </c>
      <c r="M10" s="84">
        <f t="shared" si="2"/>
        <v>0.15426276284314375</v>
      </c>
      <c r="N10">
        <f t="shared" si="3"/>
        <v>0.99829665410951507</v>
      </c>
    </row>
    <row r="11" spans="1:14" x14ac:dyDescent="0.25">
      <c r="I11">
        <v>8</v>
      </c>
      <c r="J11">
        <f t="shared" si="4"/>
        <v>0</v>
      </c>
      <c r="K11">
        <f t="shared" si="0"/>
        <v>1</v>
      </c>
      <c r="L11">
        <f t="shared" si="1"/>
        <v>0.22</v>
      </c>
      <c r="M11" s="84">
        <f t="shared" si="2"/>
        <v>0.14000000000000001</v>
      </c>
      <c r="N11">
        <f t="shared" si="3"/>
        <v>1.0357142857142858</v>
      </c>
    </row>
    <row r="12" spans="1:14" x14ac:dyDescent="0.25">
      <c r="I12">
        <v>9</v>
      </c>
      <c r="J12">
        <f t="shared" si="4"/>
        <v>0.1</v>
      </c>
      <c r="K12">
        <f t="shared" si="0"/>
        <v>0.9</v>
      </c>
      <c r="L12">
        <f t="shared" si="1"/>
        <v>0.21100000000000002</v>
      </c>
      <c r="M12" s="84">
        <f t="shared" si="2"/>
        <v>0.12632101962856382</v>
      </c>
      <c r="N12">
        <f t="shared" si="3"/>
        <v>1.0766220887061901</v>
      </c>
    </row>
    <row r="13" spans="1:14" x14ac:dyDescent="0.25">
      <c r="I13">
        <v>10</v>
      </c>
      <c r="J13">
        <f t="shared" si="4"/>
        <v>0.2</v>
      </c>
      <c r="K13">
        <f t="shared" si="0"/>
        <v>0.8</v>
      </c>
      <c r="L13">
        <f t="shared" si="1"/>
        <v>0.20200000000000001</v>
      </c>
      <c r="M13" s="84">
        <f t="shared" si="2"/>
        <v>0.11343720729989788</v>
      </c>
      <c r="N13">
        <f t="shared" si="3"/>
        <v>1.1195621174298278</v>
      </c>
    </row>
    <row r="14" spans="1:14" x14ac:dyDescent="0.25">
      <c r="I14">
        <v>11</v>
      </c>
      <c r="J14">
        <f t="shared" si="4"/>
        <v>0.30000000000000004</v>
      </c>
      <c r="K14">
        <f t="shared" si="0"/>
        <v>0.7</v>
      </c>
      <c r="L14">
        <f t="shared" si="1"/>
        <v>0.193</v>
      </c>
      <c r="M14" s="84">
        <f t="shared" si="2"/>
        <v>0.10165136496870074</v>
      </c>
      <c r="N14">
        <f t="shared" si="3"/>
        <v>1.1608304525604072</v>
      </c>
    </row>
    <row r="15" spans="1:14" x14ac:dyDescent="0.25">
      <c r="I15">
        <v>12</v>
      </c>
      <c r="J15">
        <f t="shared" si="4"/>
        <v>0.4</v>
      </c>
      <c r="K15">
        <f t="shared" si="0"/>
        <v>0.6</v>
      </c>
      <c r="L15">
        <f t="shared" si="1"/>
        <v>0.184</v>
      </c>
      <c r="M15" s="84">
        <f t="shared" si="2"/>
        <v>9.1389277270366914E-2</v>
      </c>
      <c r="N15">
        <f t="shared" si="3"/>
        <v>1.1927000984758129</v>
      </c>
    </row>
    <row r="16" spans="1:14" x14ac:dyDescent="0.25">
      <c r="I16" s="69">
        <v>13</v>
      </c>
      <c r="J16" s="69">
        <f t="shared" si="4"/>
        <v>0.5</v>
      </c>
      <c r="K16" s="69">
        <f t="shared" si="0"/>
        <v>0.5</v>
      </c>
      <c r="L16" s="69">
        <f t="shared" si="1"/>
        <v>0.17499999999999999</v>
      </c>
      <c r="M16" s="85">
        <f t="shared" si="2"/>
        <v>8.3216584885466197E-2</v>
      </c>
      <c r="N16" s="69">
        <f t="shared" si="3"/>
        <v>1.2016835362522191</v>
      </c>
    </row>
    <row r="17" spans="1:14" x14ac:dyDescent="0.25">
      <c r="I17">
        <v>14</v>
      </c>
      <c r="J17">
        <f t="shared" si="4"/>
        <v>0.6</v>
      </c>
      <c r="K17">
        <f t="shared" si="0"/>
        <v>0.4</v>
      </c>
      <c r="L17">
        <f t="shared" si="1"/>
        <v>0.16600000000000001</v>
      </c>
      <c r="M17" s="84">
        <f t="shared" si="2"/>
        <v>7.7794601355106907E-2</v>
      </c>
      <c r="N17">
        <f t="shared" si="3"/>
        <v>1.1697469800586133</v>
      </c>
    </row>
    <row r="18" spans="1:14" x14ac:dyDescent="0.25">
      <c r="I18">
        <v>15</v>
      </c>
      <c r="J18">
        <f t="shared" si="4"/>
        <v>0.7</v>
      </c>
      <c r="K18">
        <f t="shared" si="0"/>
        <v>0.30000000000000004</v>
      </c>
      <c r="L18">
        <f t="shared" si="1"/>
        <v>0.15700000000000003</v>
      </c>
      <c r="M18" s="84">
        <f t="shared" si="2"/>
        <v>7.5716576784743778E-2</v>
      </c>
      <c r="N18">
        <f t="shared" si="3"/>
        <v>1.0829860973921144</v>
      </c>
    </row>
    <row r="19" spans="1:14" x14ac:dyDescent="0.25">
      <c r="I19">
        <v>16</v>
      </c>
      <c r="J19">
        <f t="shared" si="4"/>
        <v>0.79999999999999993</v>
      </c>
      <c r="K19">
        <f t="shared" si="0"/>
        <v>0.20000000000000007</v>
      </c>
      <c r="L19">
        <f t="shared" si="1"/>
        <v>0.14800000000000002</v>
      </c>
      <c r="M19" s="84">
        <f t="shared" si="2"/>
        <v>7.7252831663311858E-2</v>
      </c>
      <c r="N19">
        <f t="shared" si="3"/>
        <v>0.94494918086825874</v>
      </c>
    </row>
    <row r="20" spans="1:14" x14ac:dyDescent="0.25">
      <c r="I20">
        <v>17</v>
      </c>
      <c r="J20">
        <f t="shared" si="4"/>
        <v>0.89999999999999991</v>
      </c>
      <c r="K20">
        <f t="shared" si="0"/>
        <v>0.10000000000000009</v>
      </c>
      <c r="L20">
        <f t="shared" si="1"/>
        <v>0.13900000000000001</v>
      </c>
      <c r="M20" s="84">
        <f t="shared" si="2"/>
        <v>8.2200973230248303E-2</v>
      </c>
      <c r="N20">
        <f t="shared" si="3"/>
        <v>0.77857958957168771</v>
      </c>
    </row>
    <row r="21" spans="1:14" x14ac:dyDescent="0.25">
      <c r="I21">
        <v>18</v>
      </c>
      <c r="J21">
        <f t="shared" si="4"/>
        <v>0.99999999999999989</v>
      </c>
      <c r="K21">
        <f t="shared" si="0"/>
        <v>0</v>
      </c>
      <c r="L21">
        <f t="shared" si="1"/>
        <v>0.12999999999999998</v>
      </c>
      <c r="M21" s="84">
        <f t="shared" si="2"/>
        <v>8.9999999999999983E-2</v>
      </c>
      <c r="N21">
        <f t="shared" si="3"/>
        <v>0.61111111111111105</v>
      </c>
    </row>
    <row r="28" spans="1:14" x14ac:dyDescent="0.25">
      <c r="A28" t="s">
        <v>209</v>
      </c>
    </row>
    <row r="29" spans="1:14" x14ac:dyDescent="0.25">
      <c r="A29" t="s">
        <v>95</v>
      </c>
    </row>
    <row r="30" spans="1:14" x14ac:dyDescent="0.25">
      <c r="A30" t="s">
        <v>210</v>
      </c>
    </row>
    <row r="32" spans="1:14" x14ac:dyDescent="0.25">
      <c r="A32" t="s">
        <v>211</v>
      </c>
    </row>
    <row r="33" spans="1:6" x14ac:dyDescent="0.25">
      <c r="A33" t="s">
        <v>96</v>
      </c>
    </row>
    <row r="34" spans="1:6" x14ac:dyDescent="0.25">
      <c r="A34" t="s">
        <v>97</v>
      </c>
    </row>
    <row r="35" spans="1:6" x14ac:dyDescent="0.25">
      <c r="A35" t="s">
        <v>212</v>
      </c>
      <c r="D35">
        <f>0.1566*7.5%+0.8434*0.175</f>
        <v>0.15934000000000001</v>
      </c>
    </row>
    <row r="42" spans="1:6" x14ac:dyDescent="0.25">
      <c r="A42" s="60" t="s">
        <v>47</v>
      </c>
      <c r="B42" s="69" t="s">
        <v>55</v>
      </c>
      <c r="C42" t="s">
        <v>56</v>
      </c>
      <c r="D42" s="69" t="s">
        <v>57</v>
      </c>
      <c r="E42" t="s">
        <v>58</v>
      </c>
    </row>
    <row r="43" spans="1:6" x14ac:dyDescent="0.25">
      <c r="A43">
        <v>1</v>
      </c>
      <c r="B43" s="69">
        <v>0.13500000000000001</v>
      </c>
      <c r="C43">
        <v>0.13</v>
      </c>
      <c r="D43" s="69">
        <v>0.185</v>
      </c>
      <c r="E43">
        <v>0.24</v>
      </c>
    </row>
    <row r="44" spans="1:6" x14ac:dyDescent="0.25">
      <c r="A44">
        <v>2</v>
      </c>
      <c r="B44" s="69">
        <v>0.13</v>
      </c>
      <c r="C44">
        <v>0.09</v>
      </c>
      <c r="D44" s="69">
        <v>0.23</v>
      </c>
      <c r="E44">
        <v>0.245</v>
      </c>
    </row>
    <row r="45" spans="1:6" x14ac:dyDescent="0.25">
      <c r="A45">
        <v>3</v>
      </c>
      <c r="B45" s="69">
        <v>0.125</v>
      </c>
      <c r="C45">
        <v>8.8999999999999996E-2</v>
      </c>
      <c r="D45" s="69">
        <v>0.23499999999999999</v>
      </c>
      <c r="E45">
        <v>0.251</v>
      </c>
    </row>
    <row r="46" spans="1:6" x14ac:dyDescent="0.25">
      <c r="A46">
        <v>4</v>
      </c>
      <c r="B46" s="69">
        <v>0.11</v>
      </c>
      <c r="C46">
        <v>7.9000000000000001E-2</v>
      </c>
      <c r="D46" s="69">
        <v>0.245</v>
      </c>
      <c r="E46">
        <v>0.25600000000000001</v>
      </c>
    </row>
    <row r="47" spans="1:6" x14ac:dyDescent="0.25">
      <c r="A47">
        <v>5</v>
      </c>
      <c r="B47" s="69">
        <v>0.1</v>
      </c>
      <c r="C47">
        <v>7.8E-2</v>
      </c>
      <c r="D47" s="69">
        <v>0.3175</v>
      </c>
      <c r="E47">
        <v>0.25800000000000001</v>
      </c>
      <c r="F47" t="s">
        <v>98</v>
      </c>
    </row>
    <row r="48" spans="1:6" x14ac:dyDescent="0.25">
      <c r="A48" t="s">
        <v>93</v>
      </c>
      <c r="B48" s="69">
        <f>STDEVP(B43:B47)</f>
        <v>1.303840481040526E-2</v>
      </c>
      <c r="C48">
        <f>STDEVP(C43:C47)</f>
        <v>1.9051509126575772E-2</v>
      </c>
      <c r="D48" s="69">
        <f>STDEVP(D43:D47)</f>
        <v>4.2778499272414956E-2</v>
      </c>
      <c r="E48">
        <f t="shared" ref="E48" si="5">STDEVP(E43:E47)</f>
        <v>6.7230945255886505E-3</v>
      </c>
    </row>
    <row r="49" spans="1:6" x14ac:dyDescent="0.25">
      <c r="A49" t="s">
        <v>99</v>
      </c>
      <c r="B49" s="69">
        <f>COVAR(B43:B47,B53:B57)/(B48*B58)</f>
        <v>0.90536973542424271</v>
      </c>
      <c r="C49">
        <f>COVAR(C43:C47,B53:B57)/(C48*B58)</f>
        <v>0.86085902390323632</v>
      </c>
      <c r="D49" s="69">
        <f>COVAR(D43:D47,C53:C57)/(D48*C58)</f>
        <v>0.96998509619292128</v>
      </c>
      <c r="E49">
        <f>COVAR(E43:E47,C53:C57)/(E48*C58)</f>
        <v>0.90893666150541919</v>
      </c>
    </row>
    <row r="51" spans="1:6" ht="15.75" thickBot="1" x14ac:dyDescent="0.3"/>
    <row r="52" spans="1:6" ht="15.75" thickBot="1" x14ac:dyDescent="0.3">
      <c r="A52" s="80" t="s">
        <v>47</v>
      </c>
      <c r="B52" s="81" t="s">
        <v>0</v>
      </c>
      <c r="C52" s="81" t="s">
        <v>1</v>
      </c>
      <c r="F52" s="86" t="s">
        <v>213</v>
      </c>
    </row>
    <row r="53" spans="1:6" ht="15.75" thickBot="1" x14ac:dyDescent="0.3">
      <c r="A53" s="82">
        <v>1</v>
      </c>
      <c r="B53" s="83">
        <v>0.15</v>
      </c>
      <c r="C53" s="83">
        <v>0.24</v>
      </c>
    </row>
    <row r="54" spans="1:6" ht="15.75" thickBot="1" x14ac:dyDescent="0.3">
      <c r="A54" s="82">
        <v>2</v>
      </c>
      <c r="B54" s="83">
        <v>0.14000000000000001</v>
      </c>
      <c r="C54" s="83">
        <v>0.26</v>
      </c>
    </row>
    <row r="55" spans="1:6" ht="15.75" thickBot="1" x14ac:dyDescent="0.3">
      <c r="A55" s="82">
        <v>3</v>
      </c>
      <c r="B55" s="83">
        <v>0.12</v>
      </c>
      <c r="C55" s="83">
        <v>0.26100000000000001</v>
      </c>
    </row>
    <row r="56" spans="1:6" ht="15.75" thickBot="1" x14ac:dyDescent="0.3">
      <c r="A56" s="82">
        <v>4</v>
      </c>
      <c r="B56" s="83">
        <v>0.115</v>
      </c>
      <c r="C56" s="83">
        <v>0.26500000000000001</v>
      </c>
    </row>
    <row r="57" spans="1:6" ht="15.75" thickBot="1" x14ac:dyDescent="0.3">
      <c r="A57" s="82">
        <v>5</v>
      </c>
      <c r="B57" s="83">
        <v>0.109</v>
      </c>
      <c r="C57" s="83">
        <v>0.28000000000000003</v>
      </c>
    </row>
    <row r="58" spans="1:6" x14ac:dyDescent="0.25">
      <c r="A58" t="s">
        <v>93</v>
      </c>
      <c r="B58">
        <f>STDEVP(B53:B57)</f>
        <v>1.5587174214718932E-2</v>
      </c>
      <c r="C58">
        <f>STDEVP(C53:C57)</f>
        <v>1.2796874618437124E-2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60" zoomScaleNormal="60" workbookViewId="0">
      <selection activeCell="F34" sqref="F34"/>
    </sheetView>
  </sheetViews>
  <sheetFormatPr baseColWidth="10" defaultRowHeight="15" x14ac:dyDescent="0.25"/>
  <cols>
    <col min="1" max="1" width="32.5703125" style="87" customWidth="1"/>
    <col min="2" max="2" width="35.28515625" style="87" customWidth="1"/>
    <col min="3" max="16384" width="11.42578125" style="87"/>
  </cols>
  <sheetData>
    <row r="1" spans="1:5" x14ac:dyDescent="0.25">
      <c r="A1" s="87" t="s">
        <v>103</v>
      </c>
      <c r="B1" s="87" t="s">
        <v>104</v>
      </c>
      <c r="C1" s="87" t="s">
        <v>93</v>
      </c>
      <c r="D1" s="87" t="s">
        <v>105</v>
      </c>
      <c r="E1" s="87" t="s">
        <v>106</v>
      </c>
    </row>
    <row r="2" spans="1:5" x14ac:dyDescent="0.25">
      <c r="A2" s="87" t="s">
        <v>0</v>
      </c>
      <c r="B2" s="87">
        <v>0.1925</v>
      </c>
      <c r="C2" s="87">
        <v>0.17</v>
      </c>
      <c r="D2" s="87">
        <v>1.5</v>
      </c>
      <c r="E2" s="87">
        <v>0.5</v>
      </c>
    </row>
    <row r="3" spans="1:5" x14ac:dyDescent="0.25">
      <c r="A3" s="87" t="s">
        <v>1</v>
      </c>
      <c r="B3" s="87">
        <v>0.14149999999999999</v>
      </c>
      <c r="C3" s="87">
        <v>0.08</v>
      </c>
      <c r="D3" s="87">
        <v>0.9</v>
      </c>
      <c r="E3" s="87">
        <v>0.09</v>
      </c>
    </row>
    <row r="4" spans="1:5" x14ac:dyDescent="0.25">
      <c r="A4" s="87" t="s">
        <v>2</v>
      </c>
      <c r="B4" s="87">
        <v>8.2000000000000003E-2</v>
      </c>
      <c r="C4" s="87">
        <v>0.05</v>
      </c>
      <c r="D4" s="87">
        <v>0.2</v>
      </c>
      <c r="E4" s="87">
        <v>0.01</v>
      </c>
    </row>
    <row r="5" spans="1:5" x14ac:dyDescent="0.25">
      <c r="A5" s="87" t="s">
        <v>100</v>
      </c>
      <c r="B5" s="87">
        <v>0.1585</v>
      </c>
      <c r="C5" s="87">
        <v>0.11</v>
      </c>
      <c r="D5" s="87">
        <v>1.1000000000000001</v>
      </c>
      <c r="E5" s="87">
        <v>0.4</v>
      </c>
    </row>
    <row r="6" spans="1:5" x14ac:dyDescent="0.25">
      <c r="A6" s="87" t="s">
        <v>101</v>
      </c>
      <c r="B6" s="87">
        <v>0.15</v>
      </c>
      <c r="C6" s="87">
        <v>0.1</v>
      </c>
      <c r="D6" s="87">
        <v>1</v>
      </c>
    </row>
    <row r="7" spans="1:5" x14ac:dyDescent="0.25">
      <c r="A7" s="87" t="s">
        <v>102</v>
      </c>
      <c r="B7" s="87">
        <v>6.5000000000000002E-2</v>
      </c>
    </row>
    <row r="9" spans="1:5" x14ac:dyDescent="0.25">
      <c r="A9" s="87" t="s">
        <v>103</v>
      </c>
      <c r="B9" s="87" t="s">
        <v>107</v>
      </c>
    </row>
    <row r="10" spans="1:5" x14ac:dyDescent="0.25">
      <c r="A10" s="87" t="s">
        <v>0</v>
      </c>
      <c r="B10" s="87">
        <v>0.13</v>
      </c>
    </row>
    <row r="11" spans="1:5" x14ac:dyDescent="0.25">
      <c r="A11" s="87" t="s">
        <v>1</v>
      </c>
      <c r="B11" s="87">
        <v>0.18</v>
      </c>
    </row>
    <row r="12" spans="1:5" x14ac:dyDescent="0.25">
      <c r="A12" s="87" t="s">
        <v>2</v>
      </c>
      <c r="B12" s="87">
        <v>0.11</v>
      </c>
    </row>
    <row r="13" spans="1:5" x14ac:dyDescent="0.25">
      <c r="A13" s="87" t="s">
        <v>100</v>
      </c>
      <c r="B13" s="87">
        <v>0.1</v>
      </c>
    </row>
    <row r="14" spans="1:5" x14ac:dyDescent="0.25">
      <c r="A14" s="87" t="s">
        <v>101</v>
      </c>
      <c r="B14" s="87">
        <v>7.0000000000000007E-2</v>
      </c>
    </row>
    <row r="17" spans="1:4" x14ac:dyDescent="0.25">
      <c r="A17" s="87" t="s">
        <v>108</v>
      </c>
      <c r="B17" s="87">
        <f>SUMPRODUCT(D2:D5,E2:E5)</f>
        <v>1.2730000000000001</v>
      </c>
      <c r="C17" s="87" t="s">
        <v>186</v>
      </c>
    </row>
    <row r="18" spans="1:4" x14ac:dyDescent="0.25">
      <c r="A18" s="87" t="s">
        <v>109</v>
      </c>
      <c r="B18" s="89">
        <f>SUMPRODUCT(E2:E5,B10:B13)</f>
        <v>0.12230000000000001</v>
      </c>
    </row>
    <row r="19" spans="1:4" x14ac:dyDescent="0.25">
      <c r="A19" s="87" t="s">
        <v>110</v>
      </c>
      <c r="C19" s="87">
        <f>SUMPRODUCT(B2:B5,E2:E5)</f>
        <v>0.173205</v>
      </c>
    </row>
    <row r="21" spans="1:4" x14ac:dyDescent="0.25">
      <c r="A21" s="88" t="s">
        <v>111</v>
      </c>
      <c r="B21" s="88"/>
      <c r="C21" s="88"/>
    </row>
    <row r="23" spans="1:4" x14ac:dyDescent="0.25">
      <c r="A23" s="87" t="s">
        <v>112</v>
      </c>
    </row>
    <row r="25" spans="1:4" x14ac:dyDescent="0.25">
      <c r="A25" s="87" t="s">
        <v>214</v>
      </c>
    </row>
    <row r="26" spans="1:4" x14ac:dyDescent="0.25">
      <c r="A26" s="87" t="s">
        <v>113</v>
      </c>
    </row>
    <row r="27" spans="1:4" x14ac:dyDescent="0.25">
      <c r="A27" s="87" t="s">
        <v>0</v>
      </c>
      <c r="B27" s="87">
        <f>E2-0.2</f>
        <v>0.3</v>
      </c>
    </row>
    <row r="28" spans="1:4" x14ac:dyDescent="0.25">
      <c r="A28" s="87" t="s">
        <v>1</v>
      </c>
      <c r="B28" s="87">
        <f>E3+0.2</f>
        <v>0.29000000000000004</v>
      </c>
    </row>
    <row r="29" spans="1:4" x14ac:dyDescent="0.25">
      <c r="A29" s="87" t="s">
        <v>2</v>
      </c>
      <c r="B29" s="87">
        <f>E4+0.2</f>
        <v>0.21000000000000002</v>
      </c>
    </row>
    <row r="30" spans="1:4" x14ac:dyDescent="0.25">
      <c r="A30" s="87" t="s">
        <v>100</v>
      </c>
      <c r="B30" s="87">
        <f>E5-0.2</f>
        <v>0.2</v>
      </c>
    </row>
    <row r="32" spans="1:4" x14ac:dyDescent="0.25">
      <c r="A32" s="87" t="s">
        <v>215</v>
      </c>
      <c r="D32" s="87">
        <f>SUMPRODUCT(B27:B30,D2:D5)</f>
        <v>0.97300000000000009</v>
      </c>
    </row>
    <row r="33" spans="1:3" x14ac:dyDescent="0.25">
      <c r="A33" s="87" t="s">
        <v>114</v>
      </c>
    </row>
    <row r="35" spans="1:3" x14ac:dyDescent="0.25">
      <c r="A35" s="87" t="s">
        <v>109</v>
      </c>
      <c r="B35" s="88">
        <f>SUMPRODUCT(B27:B30,B10:B13)</f>
        <v>0.13430000000000003</v>
      </c>
    </row>
    <row r="37" spans="1:3" x14ac:dyDescent="0.25">
      <c r="A37" s="87" t="s">
        <v>187</v>
      </c>
      <c r="B37" s="87" t="s">
        <v>115</v>
      </c>
      <c r="C37" s="88">
        <f>B35-B18</f>
        <v>1.2000000000000025E-2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exercice 1</vt:lpstr>
      <vt:lpstr>exercice 2</vt:lpstr>
      <vt:lpstr>exercice 3_avec rebalancement</vt:lpstr>
      <vt:lpstr>ex3_sans rebalancement</vt:lpstr>
      <vt:lpstr>ex4</vt:lpstr>
      <vt:lpstr>ex5</vt:lpstr>
      <vt:lpstr>ex6</vt:lpstr>
      <vt:lpstr>ex7</vt:lpstr>
      <vt:lpstr>Ex 8</vt:lpstr>
      <vt:lpstr>Ex 9</vt:lpstr>
      <vt:lpstr>Ex 10</vt:lpstr>
      <vt:lpstr>Ex 11</vt:lpstr>
      <vt:lpstr>Ex12</vt:lpstr>
      <vt:lpstr>EX 13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Fuchsg</cp:lastModifiedBy>
  <dcterms:created xsi:type="dcterms:W3CDTF">2011-08-14T14:23:53Z</dcterms:created>
  <dcterms:modified xsi:type="dcterms:W3CDTF">2014-04-26T08:37:18Z</dcterms:modified>
</cp:coreProperties>
</file>