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rmo\OneDrive\Escritorio\TrabajosUN\Automatización y Procesos de Manufactura\"/>
    </mc:Choice>
  </mc:AlternateContent>
  <xr:revisionPtr revIDLastSave="0" documentId="13_ncr:1_{9793DD40-F702-4354-80EE-500AA090AA72}" xr6:coauthVersionLast="47" xr6:coauthVersionMax="47" xr10:uidLastSave="{00000000-0000-0000-0000-000000000000}"/>
  <bookViews>
    <workbookView xWindow="-120" yWindow="-120" windowWidth="28095" windowHeight="16440" tabRatio="757" activeTab="3" xr2:uid="{DFBB50D8-44C0-45D0-B419-A05979D8E054}"/>
  </bookViews>
  <sheets>
    <sheet name="Flujo de Caja" sheetId="7" r:id="rId1"/>
    <sheet name="Ingresos" sheetId="1" r:id="rId2"/>
    <sheet name="Costos" sheetId="5" r:id="rId3"/>
    <sheet name="Inversión" sheetId="6" r:id="rId4"/>
    <sheet name="Insumos" sheetId="2" r:id="rId5"/>
    <sheet name="Honorarios" sheetId="9" r:id="rId6"/>
    <sheet name="Energía Eléctrica" sheetId="3" r:id="rId7"/>
    <sheet name="Salarios Operarios" sheetId="4" r:id="rId8"/>
    <sheet name="Mantenimiento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K2" i="9"/>
  <c r="L2" i="9" s="1"/>
  <c r="B2" i="9" s="1"/>
  <c r="J2" i="9"/>
  <c r="I8" i="6"/>
  <c r="C2" i="1"/>
  <c r="C3" i="1"/>
  <c r="C4" i="1"/>
  <c r="D2" i="1"/>
  <c r="H5" i="6"/>
  <c r="H3" i="3"/>
  <c r="H2" i="3"/>
  <c r="G4" i="3"/>
  <c r="G3" i="3"/>
  <c r="G2" i="3"/>
  <c r="B5" i="5"/>
  <c r="E8" i="8"/>
  <c r="E3" i="8"/>
  <c r="E4" i="8"/>
  <c r="E5" i="8"/>
  <c r="E6" i="8"/>
  <c r="E7" i="8"/>
  <c r="E2" i="8"/>
  <c r="D3" i="8"/>
  <c r="D4" i="8"/>
  <c r="D5" i="8"/>
  <c r="D6" i="8"/>
  <c r="D7" i="8"/>
  <c r="D2" i="8"/>
  <c r="J3" i="6"/>
  <c r="J4" i="6"/>
  <c r="J6" i="6"/>
  <c r="J2" i="6"/>
  <c r="I5" i="6"/>
  <c r="J5" i="6" s="1"/>
  <c r="D3" i="6"/>
  <c r="D4" i="6"/>
  <c r="H4" i="6" s="1"/>
  <c r="D5" i="6"/>
  <c r="D6" i="6"/>
  <c r="H6" i="6" s="1"/>
  <c r="D7" i="6"/>
  <c r="H7" i="6" s="1"/>
  <c r="H8" i="6"/>
  <c r="D2" i="6"/>
  <c r="H3" i="6"/>
  <c r="I3" i="6" s="1"/>
  <c r="H2" i="6"/>
  <c r="I2" i="6" s="1"/>
  <c r="F3" i="6"/>
  <c r="F4" i="6"/>
  <c r="F5" i="6"/>
  <c r="F6" i="6"/>
  <c r="F7" i="6"/>
  <c r="F8" i="6"/>
  <c r="E3" i="6"/>
  <c r="E4" i="6"/>
  <c r="E5" i="6"/>
  <c r="E6" i="6"/>
  <c r="E7" i="6"/>
  <c r="F2" i="6"/>
  <c r="E2" i="6"/>
  <c r="D2" i="9" l="1"/>
  <c r="E2" i="9" s="1"/>
  <c r="J9" i="6" s="1"/>
  <c r="J10" i="6" s="1"/>
  <c r="I4" i="6"/>
  <c r="J8" i="6"/>
  <c r="I7" i="6"/>
  <c r="J7" i="6" s="1"/>
  <c r="I6" i="6"/>
  <c r="B3" i="5"/>
  <c r="G3" i="4"/>
  <c r="H3" i="4" s="1"/>
  <c r="H4" i="4" s="1"/>
  <c r="G2" i="4"/>
  <c r="E2" i="4"/>
  <c r="B5" i="4"/>
  <c r="H4" i="3"/>
  <c r="I4" i="3" s="1"/>
  <c r="J4" i="3" s="1"/>
  <c r="I3" i="3"/>
  <c r="J3" i="3" s="1"/>
  <c r="I2" i="3"/>
  <c r="J2" i="3" s="1"/>
  <c r="H14" i="2"/>
  <c r="E14" i="2"/>
  <c r="B14" i="2"/>
  <c r="D2" i="7" l="1"/>
  <c r="E2" i="7" s="1"/>
  <c r="H2" i="4"/>
  <c r="J5" i="3"/>
  <c r="E2" i="1"/>
  <c r="D3" i="1"/>
  <c r="E3" i="1" s="1"/>
  <c r="D4" i="1"/>
  <c r="E4" i="1" s="1"/>
  <c r="K4" i="2" s="1"/>
  <c r="L4" i="2" s="1"/>
  <c r="K2" i="2" l="1"/>
  <c r="L2" i="2" s="1"/>
  <c r="E5" i="1"/>
  <c r="F2" i="1"/>
  <c r="G2" i="1" s="1"/>
  <c r="F4" i="1"/>
  <c r="G4" i="1" s="1"/>
  <c r="K3" i="2"/>
  <c r="L3" i="2" s="1"/>
  <c r="F3" i="1"/>
  <c r="G3" i="1" s="1"/>
  <c r="L5" i="2" l="1"/>
  <c r="B2" i="5" s="1"/>
  <c r="G5" i="1"/>
  <c r="B3" i="7" s="1"/>
  <c r="F5" i="1"/>
  <c r="B4" i="7" l="1"/>
  <c r="B5" i="7" s="1"/>
  <c r="B6" i="7" s="1"/>
  <c r="B7" i="7" s="1"/>
  <c r="B4" i="5" l="1"/>
  <c r="B6" i="5" s="1"/>
  <c r="C3" i="7" l="1"/>
  <c r="C4" i="7" s="1"/>
  <c r="K1" i="1"/>
  <c r="K2" i="1" s="1"/>
  <c r="E3" i="7"/>
  <c r="E4" i="7" l="1"/>
  <c r="C5" i="7"/>
  <c r="E5" i="7" l="1"/>
  <c r="C6" i="7"/>
  <c r="C7" i="7" l="1"/>
  <c r="E6" i="7"/>
  <c r="E7" i="7" l="1"/>
  <c r="K2" i="7" s="1"/>
  <c r="K4" i="7" l="1"/>
  <c r="H2" i="7"/>
</calcChain>
</file>

<file path=xl/sharedStrings.xml><?xml version="1.0" encoding="utf-8"?>
<sst xmlns="http://schemas.openxmlformats.org/spreadsheetml/2006/main" count="161" uniqueCount="104">
  <si>
    <t>Cantidad Anual</t>
  </si>
  <si>
    <t>Avanti X</t>
  </si>
  <si>
    <t>Wolf Artic</t>
  </si>
  <si>
    <t>Velocífero 2000</t>
  </si>
  <si>
    <t>Modelo</t>
  </si>
  <si>
    <t>Precio Unidad</t>
  </si>
  <si>
    <t>Cantidad Mensual</t>
  </si>
  <si>
    <t>Producción Diaria</t>
  </si>
  <si>
    <t>Total</t>
  </si>
  <si>
    <t>Insumos</t>
  </si>
  <si>
    <t>Precio (COP)</t>
  </si>
  <si>
    <t>Ruedas</t>
  </si>
  <si>
    <t>Chasis</t>
  </si>
  <si>
    <t>Suspensión</t>
  </si>
  <si>
    <t>Manubrio</t>
  </si>
  <si>
    <t>Bateria</t>
  </si>
  <si>
    <t>Motor</t>
  </si>
  <si>
    <t>Total Anual</t>
  </si>
  <si>
    <t xml:space="preserve">Material </t>
  </si>
  <si>
    <t>Frenos</t>
  </si>
  <si>
    <t>Luces</t>
  </si>
  <si>
    <t>Sillin</t>
  </si>
  <si>
    <t>Accesorios</t>
  </si>
  <si>
    <t>Circuitería</t>
  </si>
  <si>
    <t>Cuadro</t>
  </si>
  <si>
    <t>Pedaleo</t>
  </si>
  <si>
    <t>Precio kWh (COP)</t>
  </si>
  <si>
    <t>Máquina</t>
  </si>
  <si>
    <t>Consumo Mensual</t>
  </si>
  <si>
    <t>Consumo Anual</t>
  </si>
  <si>
    <t xml:space="preserve">Robot ABB </t>
  </si>
  <si>
    <t>Costo Anual</t>
  </si>
  <si>
    <t>Cantidad</t>
  </si>
  <si>
    <t>Consumo/Dia unidad (kWh)</t>
  </si>
  <si>
    <t>Consumo Total/Día (kWh)</t>
  </si>
  <si>
    <t>Bandas Transportadoras</t>
  </si>
  <si>
    <t>Adicional</t>
  </si>
  <si>
    <t>Salario Trabajador (Mensual)</t>
  </si>
  <si>
    <t>Auxilio de Transporte</t>
  </si>
  <si>
    <t>Aportes patronales (salud, pensión, ARL, parafiscales)</t>
  </si>
  <si>
    <t>Prestaciones Sociales</t>
  </si>
  <si>
    <t>Costo Total Estimado</t>
  </si>
  <si>
    <t>Cantidad Trabajadores</t>
  </si>
  <si>
    <t>Costo Mensual</t>
  </si>
  <si>
    <t>Energía Electrica</t>
  </si>
  <si>
    <t>Salarios Operarios</t>
  </si>
  <si>
    <t>Rol</t>
  </si>
  <si>
    <t>Operario</t>
  </si>
  <si>
    <t>Supervisor</t>
  </si>
  <si>
    <t>Rubro</t>
  </si>
  <si>
    <t>Cantidad Producida</t>
  </si>
  <si>
    <t>Velocífero</t>
  </si>
  <si>
    <t>Año</t>
  </si>
  <si>
    <t>Costos</t>
  </si>
  <si>
    <t>Ingresos</t>
  </si>
  <si>
    <t>Inversión</t>
  </si>
  <si>
    <t>Flujo Neto</t>
  </si>
  <si>
    <t>Item</t>
  </si>
  <si>
    <t>Costo Total (USD)</t>
  </si>
  <si>
    <t>Costo Total (COP)</t>
  </si>
  <si>
    <t>Robot</t>
  </si>
  <si>
    <t>TRM</t>
  </si>
  <si>
    <t>Mantenimientos</t>
  </si>
  <si>
    <t>Costo Anual (USD)</t>
  </si>
  <si>
    <t>Costo Anual(COP)</t>
  </si>
  <si>
    <t>Robots</t>
  </si>
  <si>
    <t>Otros</t>
  </si>
  <si>
    <t>Costo Anual unitario (USD)</t>
  </si>
  <si>
    <t>Grippers</t>
  </si>
  <si>
    <t>Sensores</t>
  </si>
  <si>
    <t>PLC, Sistema de Control</t>
  </si>
  <si>
    <t>Costos de instalación</t>
  </si>
  <si>
    <t>Elementos de Seguridad</t>
  </si>
  <si>
    <t>Costo Base Unitario (USD)</t>
  </si>
  <si>
    <t>Arancel(5%)</t>
  </si>
  <si>
    <t>IVA</t>
  </si>
  <si>
    <t>Costos Logísticos</t>
  </si>
  <si>
    <t>Costo Total Unitario (USD)</t>
  </si>
  <si>
    <t>Seguro y Transporte</t>
  </si>
  <si>
    <t>-</t>
  </si>
  <si>
    <t>Banda Transportadora</t>
  </si>
  <si>
    <t>Gripper</t>
  </si>
  <si>
    <t>Sensor</t>
  </si>
  <si>
    <t>PLC</t>
  </si>
  <si>
    <t>Utilidad</t>
  </si>
  <si>
    <t>Margen</t>
  </si>
  <si>
    <t>TIR</t>
  </si>
  <si>
    <t>Ingreso Anual Bruto</t>
  </si>
  <si>
    <t>Ingreso Anual Neto</t>
  </si>
  <si>
    <t>CDT</t>
  </si>
  <si>
    <t>VPN</t>
  </si>
  <si>
    <t>Payback</t>
  </si>
  <si>
    <t>FIC medio riesgo</t>
  </si>
  <si>
    <t>FIC alto riesgo</t>
  </si>
  <si>
    <t>ROI 5 años</t>
  </si>
  <si>
    <t>Honorarios</t>
  </si>
  <si>
    <t>Costo/hora</t>
  </si>
  <si>
    <t>Horas Totales</t>
  </si>
  <si>
    <t>Total cant</t>
  </si>
  <si>
    <t>Escalafon 7</t>
  </si>
  <si>
    <t>SMMLV</t>
  </si>
  <si>
    <t xml:space="preserve"> SMMLV</t>
  </si>
  <si>
    <t>h/mes</t>
  </si>
  <si>
    <t>Total\h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</si>
</sst>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164" formatCode="&quot;$&quot;\ #,##0.00"/>
    <numFmt numFmtId="165" formatCode="&quot;$&quot;\ #,##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/>
    <xf numFmtId="165" fontId="0" fillId="0" borderId="0" xfId="0" applyNumberFormat="1"/>
    <xf numFmtId="0" fontId="1" fillId="0" borderId="1" xfId="0" applyFont="1" applyBorder="1" applyAlignment="1">
      <alignment horizontal="center"/>
    </xf>
    <xf numFmtId="165" fontId="0" fillId="0" borderId="1" xfId="0" applyNumberFormat="1" applyBorder="1"/>
    <xf numFmtId="165" fontId="1" fillId="0" borderId="1" xfId="0" applyNumberFormat="1" applyFont="1" applyBorder="1"/>
    <xf numFmtId="10" fontId="0" fillId="0" borderId="0" xfId="0" applyNumberFormat="1"/>
    <xf numFmtId="0" fontId="1" fillId="0" borderId="1" xfId="0" applyFont="1" applyBorder="1" applyAlignment="1">
      <alignment horizontal="center"/>
    </xf>
    <xf numFmtId="9" fontId="0" fillId="0" borderId="1" xfId="0" applyNumberFormat="1" applyBorder="1"/>
    <xf numFmtId="9" fontId="0" fillId="0" borderId="1" xfId="1" applyNumberFormat="1" applyFont="1" applyBorder="1"/>
    <xf numFmtId="8" fontId="0" fillId="0" borderId="1" xfId="0" applyNumberFormat="1" applyBorder="1"/>
    <xf numFmtId="9" fontId="0" fillId="0" borderId="1" xfId="1" applyFont="1" applyBorder="1"/>
    <xf numFmtId="0" fontId="0" fillId="0" borderId="2" xfId="0" applyBorder="1"/>
    <xf numFmtId="165" fontId="0" fillId="0" borderId="2" xfId="0" applyNumberFormat="1" applyBorder="1"/>
    <xf numFmtId="0" fontId="1" fillId="0" borderId="1" xfId="0" applyFont="1" applyFill="1" applyBorder="1"/>
    <xf numFmtId="0" fontId="0" fillId="0" borderId="1" xfId="0" applyFill="1" applyBorder="1"/>
    <xf numFmtId="165" fontId="0" fillId="0" borderId="1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EDF3-6ACA-4AA1-AB17-74FC31FA098F}">
  <dimension ref="A1:K7"/>
  <sheetViews>
    <sheetView workbookViewId="0">
      <selection activeCell="F21" sqref="F21"/>
    </sheetView>
  </sheetViews>
  <sheetFormatPr baseColWidth="10" defaultRowHeight="15" x14ac:dyDescent="0.25"/>
  <cols>
    <col min="2" max="2" width="18.85546875" bestFit="1" customWidth="1"/>
    <col min="3" max="3" width="19.5703125" bestFit="1" customWidth="1"/>
    <col min="4" max="4" width="15.85546875" bestFit="1" customWidth="1"/>
    <col min="5" max="5" width="17.85546875" bestFit="1" customWidth="1"/>
    <col min="6" max="6" width="18.42578125" bestFit="1" customWidth="1"/>
    <col min="7" max="7" width="18.28515625" bestFit="1" customWidth="1"/>
    <col min="11" max="11" width="16.85546875" bestFit="1" customWidth="1"/>
  </cols>
  <sheetData>
    <row r="1" spans="1:11" x14ac:dyDescent="0.25">
      <c r="A1" s="6" t="s">
        <v>52</v>
      </c>
      <c r="B1" s="6" t="s">
        <v>54</v>
      </c>
      <c r="C1" s="6" t="s">
        <v>53</v>
      </c>
      <c r="D1" s="6" t="s">
        <v>55</v>
      </c>
      <c r="E1" s="6" t="s">
        <v>56</v>
      </c>
      <c r="F1" s="1"/>
      <c r="G1" s="1"/>
    </row>
    <row r="2" spans="1:11" x14ac:dyDescent="0.25">
      <c r="A2" s="6">
        <v>0</v>
      </c>
      <c r="B2" s="7">
        <v>0</v>
      </c>
      <c r="C2" s="7">
        <v>0</v>
      </c>
      <c r="D2" s="7">
        <f>-Inversión!J10</f>
        <v>-2284008750</v>
      </c>
      <c r="E2" s="7">
        <f>SUM(B2:D2)</f>
        <v>-2284008750</v>
      </c>
      <c r="F2" s="1"/>
      <c r="G2" s="2" t="s">
        <v>86</v>
      </c>
      <c r="H2" s="11">
        <f>IRR(E2:E7)</f>
        <v>0.21414219814440494</v>
      </c>
      <c r="J2" s="2" t="s">
        <v>90</v>
      </c>
      <c r="K2" s="13">
        <f>NPV(H3,E3:E7)+E2</f>
        <v>1555633841.3896108</v>
      </c>
    </row>
    <row r="3" spans="1:11" x14ac:dyDescent="0.25">
      <c r="A3" s="6">
        <v>1</v>
      </c>
      <c r="B3" s="7">
        <f>Ingresos!G5</f>
        <v>62359663865.546219</v>
      </c>
      <c r="C3" s="7">
        <f>-Costos!B6</f>
        <v>-61186443576</v>
      </c>
      <c r="D3" s="7">
        <v>0</v>
      </c>
      <c r="E3" s="7">
        <f>SUM(B3:D3)+E2</f>
        <v>-1110788460.4537811</v>
      </c>
      <c r="F3" s="1"/>
      <c r="G3" s="2" t="s">
        <v>89</v>
      </c>
      <c r="H3" s="12">
        <v>0.1</v>
      </c>
      <c r="J3" s="2" t="s">
        <v>91</v>
      </c>
      <c r="K3" s="4">
        <v>2</v>
      </c>
    </row>
    <row r="4" spans="1:11" x14ac:dyDescent="0.25">
      <c r="A4" s="6">
        <v>2</v>
      </c>
      <c r="B4" s="7">
        <f>B3</f>
        <v>62359663865.546219</v>
      </c>
      <c r="C4" s="7">
        <f>C3</f>
        <v>-61186443576</v>
      </c>
      <c r="D4" s="7">
        <v>0</v>
      </c>
      <c r="E4" s="7">
        <f>SUM(B4:D4)+E3</f>
        <v>62431829.092437744</v>
      </c>
      <c r="F4" s="1"/>
      <c r="G4" s="2" t="s">
        <v>92</v>
      </c>
      <c r="H4" s="11">
        <v>0.13</v>
      </c>
      <c r="J4" s="2" t="s">
        <v>94</v>
      </c>
      <c r="K4" s="14">
        <f>(E7-ABS(E2))/ABS(E2)</f>
        <v>0.56833580332434996</v>
      </c>
    </row>
    <row r="5" spans="1:11" x14ac:dyDescent="0.25">
      <c r="A5" s="6">
        <v>3</v>
      </c>
      <c r="B5" s="7">
        <f t="shared" ref="B5:B7" si="0">B4</f>
        <v>62359663865.546219</v>
      </c>
      <c r="C5" s="7">
        <f t="shared" ref="C5:C7" si="1">C4</f>
        <v>-61186443576</v>
      </c>
      <c r="D5" s="7">
        <v>0</v>
      </c>
      <c r="E5" s="7">
        <f t="shared" ref="E5:E7" si="2">SUM(B5:D5)+E4</f>
        <v>1235652118.6386566</v>
      </c>
      <c r="F5" s="1"/>
      <c r="G5" s="2" t="s">
        <v>93</v>
      </c>
      <c r="H5" s="11">
        <v>0.17</v>
      </c>
    </row>
    <row r="6" spans="1:11" x14ac:dyDescent="0.25">
      <c r="A6" s="6">
        <v>4</v>
      </c>
      <c r="B6" s="7">
        <f t="shared" si="0"/>
        <v>62359663865.546219</v>
      </c>
      <c r="C6" s="7">
        <f t="shared" si="1"/>
        <v>-61186443576</v>
      </c>
      <c r="D6" s="7">
        <v>0</v>
      </c>
      <c r="E6" s="7">
        <f t="shared" si="2"/>
        <v>2408872408.1848755</v>
      </c>
      <c r="F6" s="1"/>
    </row>
    <row r="7" spans="1:11" x14ac:dyDescent="0.25">
      <c r="A7" s="6">
        <v>5</v>
      </c>
      <c r="B7" s="7">
        <f t="shared" si="0"/>
        <v>62359663865.546219</v>
      </c>
      <c r="C7" s="7">
        <f t="shared" si="1"/>
        <v>-61186443576</v>
      </c>
      <c r="D7" s="7">
        <v>0</v>
      </c>
      <c r="E7" s="7">
        <f t="shared" si="2"/>
        <v>3582092697.7310944</v>
      </c>
      <c r="F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5DFD-E8B6-4681-AAA3-0B06D6A45970}">
  <dimension ref="A1:K5"/>
  <sheetViews>
    <sheetView workbookViewId="0">
      <selection activeCell="J9" sqref="J9"/>
    </sheetView>
  </sheetViews>
  <sheetFormatPr baseColWidth="10" defaultRowHeight="15" x14ac:dyDescent="0.25"/>
  <cols>
    <col min="1" max="1" width="14.28515625" bestFit="1" customWidth="1"/>
    <col min="2" max="2" width="13.42578125" bestFit="1" customWidth="1"/>
    <col min="3" max="4" width="17.140625" bestFit="1" customWidth="1"/>
    <col min="5" max="5" width="14.5703125" bestFit="1" customWidth="1"/>
    <col min="6" max="6" width="18.5703125" bestFit="1" customWidth="1"/>
    <col min="7" max="7" width="18.140625" bestFit="1" customWidth="1"/>
  </cols>
  <sheetData>
    <row r="1" spans="1:11" x14ac:dyDescent="0.25">
      <c r="A1" s="2" t="s">
        <v>4</v>
      </c>
      <c r="B1" s="2" t="s">
        <v>5</v>
      </c>
      <c r="C1" s="2" t="s">
        <v>7</v>
      </c>
      <c r="D1" s="2" t="s">
        <v>6</v>
      </c>
      <c r="E1" s="2" t="s">
        <v>0</v>
      </c>
      <c r="F1" s="2" t="s">
        <v>87</v>
      </c>
      <c r="G1" s="2" t="s">
        <v>88</v>
      </c>
      <c r="J1" t="s">
        <v>84</v>
      </c>
      <c r="K1" s="5">
        <f>(G5-Costos!B6)/E5</f>
        <v>90526.256909430464</v>
      </c>
    </row>
    <row r="2" spans="1:11" x14ac:dyDescent="0.25">
      <c r="A2" s="2" t="s">
        <v>1</v>
      </c>
      <c r="B2" s="3">
        <v>6000000</v>
      </c>
      <c r="C2" s="4">
        <f>17</f>
        <v>17</v>
      </c>
      <c r="D2" s="4">
        <f>C2*20</f>
        <v>340</v>
      </c>
      <c r="E2" s="4">
        <f>D2*12</f>
        <v>4080</v>
      </c>
      <c r="F2" s="7">
        <f>E2*B2</f>
        <v>24480000000</v>
      </c>
      <c r="G2" s="7">
        <f>F2/1.19</f>
        <v>20571428571.428574</v>
      </c>
      <c r="J2" t="s">
        <v>85</v>
      </c>
      <c r="K2" s="9">
        <f>K1/(G5/E5)</f>
        <v>1.8813768657826656E-2</v>
      </c>
    </row>
    <row r="3" spans="1:11" x14ac:dyDescent="0.25">
      <c r="A3" s="2" t="s">
        <v>2</v>
      </c>
      <c r="B3" s="3">
        <v>3800000</v>
      </c>
      <c r="C3" s="4">
        <f>19</f>
        <v>19</v>
      </c>
      <c r="D3" s="4">
        <f t="shared" ref="D3:D4" si="0">C3*20</f>
        <v>380</v>
      </c>
      <c r="E3" s="4">
        <f t="shared" ref="E3:E4" si="1">D3*12</f>
        <v>4560</v>
      </c>
      <c r="F3" s="7">
        <f t="shared" ref="F3:F4" si="2">E3*B3</f>
        <v>17328000000</v>
      </c>
      <c r="G3" s="7">
        <f t="shared" ref="G3:G4" si="3">F3/1.19</f>
        <v>14561344537.815126</v>
      </c>
    </row>
    <row r="4" spans="1:11" x14ac:dyDescent="0.25">
      <c r="A4" s="2" t="s">
        <v>3</v>
      </c>
      <c r="B4" s="3">
        <v>7500000</v>
      </c>
      <c r="C4" s="4">
        <f>18</f>
        <v>18</v>
      </c>
      <c r="D4" s="4">
        <f t="shared" si="0"/>
        <v>360</v>
      </c>
      <c r="E4" s="4">
        <f t="shared" si="1"/>
        <v>4320</v>
      </c>
      <c r="F4" s="7">
        <f t="shared" si="2"/>
        <v>32400000000</v>
      </c>
      <c r="G4" s="7">
        <f t="shared" si="3"/>
        <v>27226890756.302521</v>
      </c>
    </row>
    <row r="5" spans="1:11" x14ac:dyDescent="0.25">
      <c r="B5" s="1"/>
      <c r="D5" s="2" t="s">
        <v>17</v>
      </c>
      <c r="E5" s="2">
        <f>SUM(E2:E4)</f>
        <v>12960</v>
      </c>
      <c r="F5" s="8">
        <f>SUM(F2:F4)</f>
        <v>74208000000</v>
      </c>
      <c r="G5" s="8">
        <f>SUM(G2:G4)</f>
        <v>62359663865.546219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E99D-552C-4028-BB14-3C804366EEBB}">
  <dimension ref="A1:B6"/>
  <sheetViews>
    <sheetView workbookViewId="0">
      <selection activeCell="P6" sqref="P6"/>
    </sheetView>
  </sheetViews>
  <sheetFormatPr baseColWidth="10" defaultRowHeight="15" x14ac:dyDescent="0.25"/>
  <cols>
    <col min="1" max="1" width="17.7109375" bestFit="1" customWidth="1"/>
    <col min="2" max="2" width="16.28515625" bestFit="1" customWidth="1"/>
  </cols>
  <sheetData>
    <row r="1" spans="1:2" x14ac:dyDescent="0.25">
      <c r="A1" s="2" t="s">
        <v>49</v>
      </c>
      <c r="B1" s="2" t="s">
        <v>31</v>
      </c>
    </row>
    <row r="2" spans="1:2" x14ac:dyDescent="0.25">
      <c r="A2" s="2" t="s">
        <v>9</v>
      </c>
      <c r="B2" s="7">
        <f>Insumos!L5</f>
        <v>59230800000</v>
      </c>
    </row>
    <row r="3" spans="1:2" x14ac:dyDescent="0.25">
      <c r="A3" s="2" t="s">
        <v>44</v>
      </c>
      <c r="B3" s="7">
        <f>'Energía Eléctrica'!J5</f>
        <v>27720000</v>
      </c>
    </row>
    <row r="4" spans="1:2" x14ac:dyDescent="0.25">
      <c r="A4" s="2" t="s">
        <v>45</v>
      </c>
      <c r="B4" s="7">
        <f>'Salarios Operarios'!H4</f>
        <v>1798548576</v>
      </c>
    </row>
    <row r="5" spans="1:2" x14ac:dyDescent="0.25">
      <c r="A5" s="2" t="s">
        <v>62</v>
      </c>
      <c r="B5" s="7">
        <f>Mantenimiento!E8</f>
        <v>129375000</v>
      </c>
    </row>
    <row r="6" spans="1:2" x14ac:dyDescent="0.25">
      <c r="A6" s="2" t="s">
        <v>8</v>
      </c>
      <c r="B6" s="7">
        <f>SUM(B2:B5)</f>
        <v>61186443576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5299-30E9-40BC-B973-C7BA349EA2C4}">
  <dimension ref="A1:M10"/>
  <sheetViews>
    <sheetView tabSelected="1" workbookViewId="0">
      <selection activeCell="L29" sqref="L29"/>
    </sheetView>
  </sheetViews>
  <sheetFormatPr baseColWidth="10" defaultRowHeight="15" x14ac:dyDescent="0.25"/>
  <cols>
    <col min="1" max="1" width="23.28515625" bestFit="1" customWidth="1"/>
    <col min="3" max="3" width="24" bestFit="1" customWidth="1"/>
    <col min="4" max="4" width="18.42578125" bestFit="1" customWidth="1"/>
    <col min="5" max="5" width="11.7109375" bestFit="1" customWidth="1"/>
    <col min="6" max="6" width="7" bestFit="1" customWidth="1"/>
    <col min="7" max="7" width="16.42578125" bestFit="1" customWidth="1"/>
    <col min="8" max="8" width="24.140625" bestFit="1" customWidth="1"/>
    <col min="9" max="9" width="16.42578125" bestFit="1" customWidth="1"/>
    <col min="10" max="10" width="16.5703125" bestFit="1" customWidth="1"/>
  </cols>
  <sheetData>
    <row r="1" spans="1:13" x14ac:dyDescent="0.25">
      <c r="A1" s="2" t="s">
        <v>57</v>
      </c>
      <c r="B1" s="2" t="s">
        <v>32</v>
      </c>
      <c r="C1" s="2" t="s">
        <v>73</v>
      </c>
      <c r="D1" s="2" t="s">
        <v>78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58</v>
      </c>
      <c r="J1" s="2" t="s">
        <v>59</v>
      </c>
      <c r="L1" s="4" t="s">
        <v>61</v>
      </c>
      <c r="M1" s="4">
        <v>4500</v>
      </c>
    </row>
    <row r="2" spans="1:13" x14ac:dyDescent="0.25">
      <c r="A2" s="2" t="s">
        <v>60</v>
      </c>
      <c r="B2" s="4">
        <v>3</v>
      </c>
      <c r="C2" s="7">
        <v>27500</v>
      </c>
      <c r="D2" s="7">
        <f>C2*0.03 +250</f>
        <v>1075</v>
      </c>
      <c r="E2" s="7">
        <f>C2*0.05</f>
        <v>1375</v>
      </c>
      <c r="F2" s="7">
        <f>C2*0.19</f>
        <v>5225</v>
      </c>
      <c r="G2" s="7">
        <v>1000</v>
      </c>
      <c r="H2" s="7">
        <f>SUM(C2:G2)</f>
        <v>36175</v>
      </c>
      <c r="I2" s="7">
        <f>H2*B2</f>
        <v>108525</v>
      </c>
      <c r="J2" s="7">
        <f>I2*$M$1</f>
        <v>488362500</v>
      </c>
    </row>
    <row r="3" spans="1:13" x14ac:dyDescent="0.25">
      <c r="A3" s="2" t="s">
        <v>35</v>
      </c>
      <c r="B3" s="4">
        <v>30</v>
      </c>
      <c r="C3" s="7">
        <v>7000</v>
      </c>
      <c r="D3" s="7">
        <f t="shared" ref="D3:D7" si="0">C3*0.03 +250</f>
        <v>460</v>
      </c>
      <c r="E3" s="7">
        <f t="shared" ref="E3:E7" si="1">C3*0.05</f>
        <v>350</v>
      </c>
      <c r="F3" s="7">
        <f t="shared" ref="F3:F8" si="2">C3*0.19</f>
        <v>1330</v>
      </c>
      <c r="G3" s="7">
        <v>1000</v>
      </c>
      <c r="H3" s="7">
        <f t="shared" ref="H3:H8" si="3">SUM(C3:G3)</f>
        <v>10140</v>
      </c>
      <c r="I3" s="7">
        <f t="shared" ref="I3:I8" si="4">H3*B3</f>
        <v>304200</v>
      </c>
      <c r="J3" s="7">
        <f t="shared" ref="J3:J8" si="5">I3*$M$1</f>
        <v>1368900000</v>
      </c>
    </row>
    <row r="4" spans="1:13" x14ac:dyDescent="0.25">
      <c r="A4" s="2" t="s">
        <v>68</v>
      </c>
      <c r="B4" s="4">
        <v>3</v>
      </c>
      <c r="C4" s="7">
        <v>2700</v>
      </c>
      <c r="D4" s="7">
        <f t="shared" si="0"/>
        <v>331</v>
      </c>
      <c r="E4" s="7">
        <f t="shared" si="1"/>
        <v>135</v>
      </c>
      <c r="F4" s="7">
        <f t="shared" si="2"/>
        <v>513</v>
      </c>
      <c r="G4" s="7">
        <v>1000</v>
      </c>
      <c r="H4" s="7">
        <f t="shared" si="3"/>
        <v>4679</v>
      </c>
      <c r="I4" s="7">
        <f t="shared" si="4"/>
        <v>14037</v>
      </c>
      <c r="J4" s="7">
        <f t="shared" si="5"/>
        <v>63166500</v>
      </c>
    </row>
    <row r="5" spans="1:13" x14ac:dyDescent="0.25">
      <c r="A5" s="2" t="s">
        <v>69</v>
      </c>
      <c r="B5" s="4">
        <v>30</v>
      </c>
      <c r="C5" s="7">
        <v>80</v>
      </c>
      <c r="D5" s="7">
        <f t="shared" si="0"/>
        <v>252.4</v>
      </c>
      <c r="E5" s="7">
        <f t="shared" si="1"/>
        <v>4</v>
      </c>
      <c r="F5" s="7">
        <f t="shared" si="2"/>
        <v>15.2</v>
      </c>
      <c r="G5" s="7">
        <v>1000</v>
      </c>
      <c r="H5" s="7">
        <f>SUM(C5:G5)</f>
        <v>1351.6</v>
      </c>
      <c r="I5" s="7">
        <f>H5*B5</f>
        <v>40548</v>
      </c>
      <c r="J5" s="7">
        <f t="shared" si="5"/>
        <v>182466000</v>
      </c>
    </row>
    <row r="6" spans="1:13" x14ac:dyDescent="0.25">
      <c r="A6" s="2" t="s">
        <v>70</v>
      </c>
      <c r="B6" s="4">
        <v>3</v>
      </c>
      <c r="C6" s="7">
        <v>500</v>
      </c>
      <c r="D6" s="7">
        <f t="shared" si="0"/>
        <v>265</v>
      </c>
      <c r="E6" s="7">
        <f t="shared" si="1"/>
        <v>25</v>
      </c>
      <c r="F6" s="7">
        <f t="shared" si="2"/>
        <v>95</v>
      </c>
      <c r="G6" s="7">
        <v>1000</v>
      </c>
      <c r="H6" s="7">
        <f t="shared" si="3"/>
        <v>1885</v>
      </c>
      <c r="I6" s="7">
        <f t="shared" si="4"/>
        <v>5655</v>
      </c>
      <c r="J6" s="7">
        <f t="shared" si="5"/>
        <v>25447500</v>
      </c>
    </row>
    <row r="7" spans="1:13" x14ac:dyDescent="0.25">
      <c r="A7" s="2" t="s">
        <v>72</v>
      </c>
      <c r="B7" s="4">
        <v>3</v>
      </c>
      <c r="C7" s="7">
        <v>2000</v>
      </c>
      <c r="D7" s="7">
        <f t="shared" si="0"/>
        <v>310</v>
      </c>
      <c r="E7" s="7">
        <f t="shared" si="1"/>
        <v>100</v>
      </c>
      <c r="F7" s="7">
        <f t="shared" si="2"/>
        <v>380</v>
      </c>
      <c r="G7" s="7">
        <v>1000</v>
      </c>
      <c r="H7" s="7">
        <f t="shared" si="3"/>
        <v>3790</v>
      </c>
      <c r="I7" s="7">
        <f t="shared" si="4"/>
        <v>11370</v>
      </c>
      <c r="J7" s="7">
        <f t="shared" si="5"/>
        <v>51165000</v>
      </c>
    </row>
    <row r="8" spans="1:13" x14ac:dyDescent="0.25">
      <c r="A8" s="2" t="s">
        <v>71</v>
      </c>
      <c r="B8" s="4">
        <v>3</v>
      </c>
      <c r="C8" s="7">
        <v>5000</v>
      </c>
      <c r="D8" s="7" t="s">
        <v>79</v>
      </c>
      <c r="E8" s="7" t="s">
        <v>79</v>
      </c>
      <c r="F8" s="7">
        <f t="shared" si="2"/>
        <v>950</v>
      </c>
      <c r="G8" s="7">
        <v>1000</v>
      </c>
      <c r="H8" s="7">
        <f t="shared" si="3"/>
        <v>6950</v>
      </c>
      <c r="I8" s="7">
        <f>H8*B8</f>
        <v>20850</v>
      </c>
      <c r="J8" s="7">
        <f t="shared" si="5"/>
        <v>93825000</v>
      </c>
    </row>
    <row r="9" spans="1:13" x14ac:dyDescent="0.25">
      <c r="A9" s="17" t="s">
        <v>95</v>
      </c>
      <c r="B9" s="18">
        <v>1</v>
      </c>
      <c r="C9" s="4" t="s">
        <v>79</v>
      </c>
      <c r="D9" s="4" t="s">
        <v>79</v>
      </c>
      <c r="E9" s="4" t="s">
        <v>79</v>
      </c>
      <c r="F9" s="4" t="s">
        <v>79</v>
      </c>
      <c r="G9" s="4" t="s">
        <v>79</v>
      </c>
      <c r="H9" s="4" t="s">
        <v>79</v>
      </c>
      <c r="I9" s="4" t="s">
        <v>79</v>
      </c>
      <c r="J9" s="19">
        <f>Honorarios!E2</f>
        <v>10676250</v>
      </c>
    </row>
    <row r="10" spans="1:13" x14ac:dyDescent="0.25">
      <c r="I10" s="15" t="s">
        <v>8</v>
      </c>
      <c r="J10" s="16">
        <f>SUM(J2:J9)</f>
        <v>2284008750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F808-3B61-4265-921D-154B71E0C831}">
  <dimension ref="A1:L14"/>
  <sheetViews>
    <sheetView workbookViewId="0">
      <selection activeCell="H27" sqref="H27"/>
    </sheetView>
  </sheetViews>
  <sheetFormatPr baseColWidth="10" defaultRowHeight="15" x14ac:dyDescent="0.25"/>
  <cols>
    <col min="1" max="1" width="11.28515625" bestFit="1" customWidth="1"/>
    <col min="2" max="2" width="12.5703125" bestFit="1" customWidth="1"/>
    <col min="5" max="5" width="12.5703125" bestFit="1" customWidth="1"/>
    <col min="8" max="8" width="12.5703125" bestFit="1" customWidth="1"/>
    <col min="10" max="11" width="18.7109375" bestFit="1" customWidth="1"/>
    <col min="12" max="12" width="16.28515625" bestFit="1" customWidth="1"/>
  </cols>
  <sheetData>
    <row r="1" spans="1:12" x14ac:dyDescent="0.25">
      <c r="A1" s="10" t="s">
        <v>1</v>
      </c>
      <c r="B1" s="10"/>
      <c r="D1" s="10" t="s">
        <v>2</v>
      </c>
      <c r="E1" s="10"/>
      <c r="G1" s="10" t="s">
        <v>51</v>
      </c>
      <c r="H1" s="10"/>
      <c r="J1" s="4"/>
      <c r="K1" s="2" t="s">
        <v>50</v>
      </c>
      <c r="L1" s="2" t="s">
        <v>31</v>
      </c>
    </row>
    <row r="2" spans="1:12" x14ac:dyDescent="0.25">
      <c r="A2" s="6" t="s">
        <v>18</v>
      </c>
      <c r="B2" s="6" t="s">
        <v>10</v>
      </c>
      <c r="D2" s="6" t="s">
        <v>18</v>
      </c>
      <c r="E2" s="6" t="s">
        <v>10</v>
      </c>
      <c r="G2" s="6" t="s">
        <v>18</v>
      </c>
      <c r="H2" s="6" t="s">
        <v>10</v>
      </c>
      <c r="J2" s="2" t="s">
        <v>1</v>
      </c>
      <c r="K2" s="4">
        <f>Ingresos!E2</f>
        <v>4080</v>
      </c>
      <c r="L2" s="7">
        <f>B14*K2</f>
        <v>19788000000</v>
      </c>
    </row>
    <row r="3" spans="1:12" x14ac:dyDescent="0.25">
      <c r="A3" s="4" t="s">
        <v>12</v>
      </c>
      <c r="B3" s="7">
        <v>500000</v>
      </c>
      <c r="D3" s="4" t="s">
        <v>24</v>
      </c>
      <c r="E3" s="7">
        <v>300000</v>
      </c>
      <c r="G3" s="4" t="s">
        <v>12</v>
      </c>
      <c r="H3" s="7">
        <v>600000</v>
      </c>
      <c r="J3" s="2" t="s">
        <v>2</v>
      </c>
      <c r="K3" s="4">
        <f>Ingresos!E3</f>
        <v>4560</v>
      </c>
      <c r="L3" s="7">
        <f>K3*E14</f>
        <v>14386800000</v>
      </c>
    </row>
    <row r="4" spans="1:12" x14ac:dyDescent="0.25">
      <c r="A4" s="4" t="s">
        <v>16</v>
      </c>
      <c r="B4" s="7">
        <v>1000000</v>
      </c>
      <c r="D4" s="4" t="s">
        <v>16</v>
      </c>
      <c r="E4" s="7">
        <v>600000</v>
      </c>
      <c r="G4" s="4" t="s">
        <v>16</v>
      </c>
      <c r="H4" s="7">
        <v>1100000</v>
      </c>
      <c r="J4" s="2" t="s">
        <v>51</v>
      </c>
      <c r="K4" s="4">
        <f>Ingresos!E4</f>
        <v>4320</v>
      </c>
      <c r="L4" s="7">
        <f>K4*H14</f>
        <v>25056000000</v>
      </c>
    </row>
    <row r="5" spans="1:12" x14ac:dyDescent="0.25">
      <c r="A5" s="4" t="s">
        <v>15</v>
      </c>
      <c r="B5" s="7">
        <v>800000</v>
      </c>
      <c r="D5" s="4" t="s">
        <v>15</v>
      </c>
      <c r="E5" s="7">
        <v>400000</v>
      </c>
      <c r="G5" s="4" t="s">
        <v>15</v>
      </c>
      <c r="H5" s="7">
        <v>1000000</v>
      </c>
      <c r="K5" s="4" t="s">
        <v>8</v>
      </c>
      <c r="L5" s="7">
        <f>SUM(L2:L4)</f>
        <v>59230800000</v>
      </c>
    </row>
    <row r="6" spans="1:12" x14ac:dyDescent="0.25">
      <c r="A6" s="4" t="s">
        <v>23</v>
      </c>
      <c r="B6" s="7">
        <v>400000</v>
      </c>
      <c r="D6" s="4" t="s">
        <v>23</v>
      </c>
      <c r="E6" s="7">
        <v>300000</v>
      </c>
      <c r="G6" s="4" t="s">
        <v>23</v>
      </c>
      <c r="H6" s="7">
        <v>400000</v>
      </c>
    </row>
    <row r="7" spans="1:12" x14ac:dyDescent="0.25">
      <c r="A7" s="4" t="s">
        <v>11</v>
      </c>
      <c r="B7" s="7">
        <v>500000</v>
      </c>
      <c r="D7" s="4" t="s">
        <v>11</v>
      </c>
      <c r="E7" s="7">
        <v>400000</v>
      </c>
      <c r="G7" s="4" t="s">
        <v>11</v>
      </c>
      <c r="H7" s="7">
        <v>800000</v>
      </c>
    </row>
    <row r="8" spans="1:12" x14ac:dyDescent="0.25">
      <c r="A8" s="4" t="s">
        <v>13</v>
      </c>
      <c r="B8" s="7">
        <v>300000</v>
      </c>
      <c r="D8" s="4" t="s">
        <v>25</v>
      </c>
      <c r="E8" s="7">
        <v>200000</v>
      </c>
      <c r="G8" s="4" t="s">
        <v>13</v>
      </c>
      <c r="H8" s="7">
        <v>300000</v>
      </c>
    </row>
    <row r="9" spans="1:12" x14ac:dyDescent="0.25">
      <c r="A9" s="4" t="s">
        <v>19</v>
      </c>
      <c r="B9" s="7">
        <v>400000</v>
      </c>
      <c r="D9" s="4" t="s">
        <v>19</v>
      </c>
      <c r="E9" s="7">
        <v>300000</v>
      </c>
      <c r="G9" s="4" t="s">
        <v>19</v>
      </c>
      <c r="H9" s="7">
        <v>400000</v>
      </c>
    </row>
    <row r="10" spans="1:12" x14ac:dyDescent="0.25">
      <c r="A10" s="4" t="s">
        <v>14</v>
      </c>
      <c r="B10" s="7">
        <v>400000</v>
      </c>
      <c r="D10" s="4" t="s">
        <v>14</v>
      </c>
      <c r="E10" s="7">
        <v>200000</v>
      </c>
      <c r="G10" s="4" t="s">
        <v>14</v>
      </c>
      <c r="H10" s="7">
        <v>500000</v>
      </c>
    </row>
    <row r="11" spans="1:12" x14ac:dyDescent="0.25">
      <c r="A11" s="4" t="s">
        <v>20</v>
      </c>
      <c r="B11" s="7">
        <v>200000</v>
      </c>
      <c r="D11" s="4" t="s">
        <v>20</v>
      </c>
      <c r="E11" s="7">
        <v>150000</v>
      </c>
      <c r="G11" s="4" t="s">
        <v>20</v>
      </c>
      <c r="H11" s="7">
        <v>200000</v>
      </c>
    </row>
    <row r="12" spans="1:12" x14ac:dyDescent="0.25">
      <c r="A12" s="4" t="s">
        <v>21</v>
      </c>
      <c r="B12" s="7">
        <v>150000</v>
      </c>
      <c r="D12" s="4" t="s">
        <v>21</v>
      </c>
      <c r="E12" s="7">
        <v>180000</v>
      </c>
      <c r="G12" s="4" t="s">
        <v>21</v>
      </c>
      <c r="H12" s="7">
        <v>200000</v>
      </c>
    </row>
    <row r="13" spans="1:12" x14ac:dyDescent="0.25">
      <c r="A13" s="4" t="s">
        <v>22</v>
      </c>
      <c r="B13" s="7">
        <v>200000</v>
      </c>
      <c r="D13" s="4" t="s">
        <v>22</v>
      </c>
      <c r="E13" s="7">
        <v>125000</v>
      </c>
      <c r="G13" s="4" t="s">
        <v>22</v>
      </c>
      <c r="H13" s="7">
        <v>300000</v>
      </c>
    </row>
    <row r="14" spans="1:12" x14ac:dyDescent="0.25">
      <c r="A14" s="4" t="s">
        <v>8</v>
      </c>
      <c r="B14" s="7">
        <f>SUM(B3:B13)</f>
        <v>4850000</v>
      </c>
      <c r="D14" s="4" t="s">
        <v>8</v>
      </c>
      <c r="E14" s="7">
        <f>SUM(E3:E13)</f>
        <v>3155000</v>
      </c>
      <c r="G14" s="4" t="s">
        <v>8</v>
      </c>
      <c r="H14" s="7">
        <f>SUM(H3:H13)</f>
        <v>5800000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E614-8C0B-4D35-88C7-E71C9042FD4A}">
  <dimension ref="A1:O2"/>
  <sheetViews>
    <sheetView workbookViewId="0">
      <selection activeCell="H13" sqref="H13"/>
    </sheetView>
  </sheetViews>
  <sheetFormatPr baseColWidth="10" defaultRowHeight="15" x14ac:dyDescent="0.25"/>
  <cols>
    <col min="3" max="3" width="13.28515625" bestFit="1" customWidth="1"/>
    <col min="5" max="5" width="14.140625" bestFit="1" customWidth="1"/>
  </cols>
  <sheetData>
    <row r="1" spans="1:15" x14ac:dyDescent="0.25">
      <c r="A1" s="2" t="s">
        <v>32</v>
      </c>
      <c r="B1" s="2" t="s">
        <v>96</v>
      </c>
      <c r="C1" s="2" t="s">
        <v>97</v>
      </c>
      <c r="D1" s="2" t="s">
        <v>98</v>
      </c>
      <c r="E1" s="2" t="s">
        <v>8</v>
      </c>
      <c r="H1" s="2" t="s">
        <v>99</v>
      </c>
      <c r="I1" s="2" t="s">
        <v>100</v>
      </c>
      <c r="J1" s="2" t="s">
        <v>102</v>
      </c>
      <c r="K1" s="2" t="s">
        <v>8</v>
      </c>
      <c r="L1" s="2" t="s">
        <v>103</v>
      </c>
      <c r="N1" s="2" t="s">
        <v>100</v>
      </c>
      <c r="O1" s="7">
        <v>1423500</v>
      </c>
    </row>
    <row r="2" spans="1:15" x14ac:dyDescent="0.25">
      <c r="A2" s="4">
        <v>3</v>
      </c>
      <c r="B2" s="7">
        <f>L2</f>
        <v>44484.375</v>
      </c>
      <c r="C2" s="4">
        <f>5*16</f>
        <v>80</v>
      </c>
      <c r="D2" s="7">
        <f>C2*B2</f>
        <v>3558750</v>
      </c>
      <c r="E2" s="7">
        <f>D2*A2</f>
        <v>10676250</v>
      </c>
      <c r="H2" s="4">
        <v>7</v>
      </c>
      <c r="I2" s="4">
        <v>5</v>
      </c>
      <c r="J2" s="4">
        <f>40*4</f>
        <v>160</v>
      </c>
      <c r="K2" s="7">
        <f>I2*O1</f>
        <v>7117500</v>
      </c>
      <c r="L2" s="7">
        <f>K2/J2</f>
        <v>44484.375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A9353-BD30-488F-B18F-EC575893E7AB}">
  <dimension ref="A1:J5"/>
  <sheetViews>
    <sheetView workbookViewId="0">
      <selection activeCell="J9" sqref="J9"/>
    </sheetView>
  </sheetViews>
  <sheetFormatPr baseColWidth="10" defaultRowHeight="15" x14ac:dyDescent="0.25"/>
  <cols>
    <col min="1" max="1" width="16.5703125" bestFit="1" customWidth="1"/>
    <col min="4" max="4" width="22.7109375" bestFit="1" customWidth="1"/>
    <col min="6" max="6" width="25.85546875" bestFit="1" customWidth="1"/>
    <col min="7" max="7" width="24" bestFit="1" customWidth="1"/>
    <col min="8" max="8" width="17.5703125" bestFit="1" customWidth="1"/>
    <col min="9" max="9" width="15" bestFit="1" customWidth="1"/>
    <col min="10" max="10" width="13.140625" bestFit="1" customWidth="1"/>
  </cols>
  <sheetData>
    <row r="1" spans="1:10" x14ac:dyDescent="0.25">
      <c r="A1" s="2" t="s">
        <v>26</v>
      </c>
      <c r="B1" s="2">
        <v>308</v>
      </c>
      <c r="D1" s="6" t="s">
        <v>27</v>
      </c>
      <c r="E1" s="6" t="s">
        <v>32</v>
      </c>
      <c r="F1" s="6" t="s">
        <v>33</v>
      </c>
      <c r="G1" s="6" t="s">
        <v>34</v>
      </c>
      <c r="H1" s="6" t="s">
        <v>28</v>
      </c>
      <c r="I1" s="6" t="s">
        <v>29</v>
      </c>
      <c r="J1" s="6" t="s">
        <v>31</v>
      </c>
    </row>
    <row r="2" spans="1:10" x14ac:dyDescent="0.25">
      <c r="D2" s="2" t="s">
        <v>30</v>
      </c>
      <c r="E2" s="4">
        <v>3</v>
      </c>
      <c r="F2" s="4">
        <v>40</v>
      </c>
      <c r="G2" s="4">
        <f>F2*E2</f>
        <v>120</v>
      </c>
      <c r="H2" s="4">
        <f>G2*20</f>
        <v>2400</v>
      </c>
      <c r="I2" s="4">
        <f>H2*12</f>
        <v>28800</v>
      </c>
      <c r="J2" s="7">
        <f>I2*$B$1</f>
        <v>8870400</v>
      </c>
    </row>
    <row r="3" spans="1:10" x14ac:dyDescent="0.25">
      <c r="D3" s="2" t="s">
        <v>35</v>
      </c>
      <c r="E3" s="4">
        <v>30</v>
      </c>
      <c r="F3" s="4">
        <v>8</v>
      </c>
      <c r="G3" s="4">
        <f>F3*E3</f>
        <v>240</v>
      </c>
      <c r="H3" s="4">
        <f>G3*20</f>
        <v>4800</v>
      </c>
      <c r="I3" s="4">
        <f>H3*12</f>
        <v>57600</v>
      </c>
      <c r="J3" s="7">
        <f t="shared" ref="J3" si="0">I3*$B$1</f>
        <v>17740800</v>
      </c>
    </row>
    <row r="4" spans="1:10" x14ac:dyDescent="0.25">
      <c r="D4" s="2" t="s">
        <v>36</v>
      </c>
      <c r="E4" s="4">
        <v>3</v>
      </c>
      <c r="F4" s="4">
        <v>5</v>
      </c>
      <c r="G4" s="4">
        <f>F4*E4</f>
        <v>15</v>
      </c>
      <c r="H4" s="4">
        <f t="shared" ref="H4" si="1">G4*20</f>
        <v>300</v>
      </c>
      <c r="I4" s="4">
        <f t="shared" ref="I4" si="2">H4*12</f>
        <v>3600</v>
      </c>
      <c r="J4" s="7">
        <f>I4*$B$1</f>
        <v>1108800</v>
      </c>
    </row>
    <row r="5" spans="1:10" x14ac:dyDescent="0.25">
      <c r="I5" s="4" t="s">
        <v>8</v>
      </c>
      <c r="J5" s="7">
        <f>SUM(J2:J4)</f>
        <v>27720000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75BE-C597-4773-B2CF-2B44E78EE8BE}">
  <dimension ref="A1:H5"/>
  <sheetViews>
    <sheetView workbookViewId="0">
      <selection activeCell="E15" sqref="E15"/>
    </sheetView>
  </sheetViews>
  <sheetFormatPr baseColWidth="10" defaultRowHeight="15" x14ac:dyDescent="0.25"/>
  <cols>
    <col min="1" max="1" width="49.85546875" bestFit="1" customWidth="1"/>
    <col min="2" max="2" width="13.140625" bestFit="1" customWidth="1"/>
    <col min="4" max="4" width="11.28515625" customWidth="1"/>
    <col min="5" max="5" width="21.5703125" bestFit="1" customWidth="1"/>
    <col min="6" max="6" width="21.5703125" customWidth="1"/>
    <col min="7" max="7" width="14.42578125" bestFit="1" customWidth="1"/>
    <col min="8" max="8" width="14.140625" bestFit="1" customWidth="1"/>
  </cols>
  <sheetData>
    <row r="1" spans="1:8" x14ac:dyDescent="0.25">
      <c r="A1" s="2" t="s">
        <v>37</v>
      </c>
      <c r="B1" s="7">
        <v>1423500</v>
      </c>
      <c r="D1" s="6" t="s">
        <v>46</v>
      </c>
      <c r="E1" s="6" t="s">
        <v>42</v>
      </c>
      <c r="F1" s="6" t="s">
        <v>101</v>
      </c>
      <c r="G1" s="6" t="s">
        <v>43</v>
      </c>
      <c r="H1" s="6" t="s">
        <v>31</v>
      </c>
    </row>
    <row r="2" spans="1:8" x14ac:dyDescent="0.25">
      <c r="A2" s="2" t="s">
        <v>38</v>
      </c>
      <c r="B2" s="7">
        <v>200000</v>
      </c>
      <c r="D2" s="4" t="s">
        <v>47</v>
      </c>
      <c r="E2" s="4">
        <f>11+9+8</f>
        <v>28</v>
      </c>
      <c r="F2" s="4">
        <v>2</v>
      </c>
      <c r="G2" s="7">
        <f>E2*F2*$B$5</f>
        <v>135374624</v>
      </c>
      <c r="H2" s="7">
        <f>G2*12</f>
        <v>1624495488</v>
      </c>
    </row>
    <row r="3" spans="1:8" x14ac:dyDescent="0.25">
      <c r="A3" s="2" t="s">
        <v>39</v>
      </c>
      <c r="B3" s="7">
        <v>447834</v>
      </c>
      <c r="D3" s="4" t="s">
        <v>48</v>
      </c>
      <c r="E3" s="4">
        <v>2</v>
      </c>
      <c r="F3" s="4">
        <v>3</v>
      </c>
      <c r="G3" s="7">
        <f>E3*F3*$B$5</f>
        <v>14504424</v>
      </c>
      <c r="H3" s="7">
        <f>G3*12</f>
        <v>174053088</v>
      </c>
    </row>
    <row r="4" spans="1:8" x14ac:dyDescent="0.25">
      <c r="A4" s="2" t="s">
        <v>40</v>
      </c>
      <c r="B4" s="7">
        <v>346070</v>
      </c>
      <c r="G4" s="4" t="s">
        <v>8</v>
      </c>
      <c r="H4" s="7">
        <f>SUM(H2:H3)</f>
        <v>1798548576</v>
      </c>
    </row>
    <row r="5" spans="1:8" x14ac:dyDescent="0.25">
      <c r="A5" s="2" t="s">
        <v>41</v>
      </c>
      <c r="B5" s="7">
        <f>SUM(B1:B4)</f>
        <v>2417404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1832-B595-4771-95BF-75895EB3797A}">
  <dimension ref="A1:H8"/>
  <sheetViews>
    <sheetView workbookViewId="0">
      <selection activeCell="G6" sqref="G6"/>
    </sheetView>
  </sheetViews>
  <sheetFormatPr baseColWidth="10" defaultRowHeight="15" x14ac:dyDescent="0.25"/>
  <cols>
    <col min="1" max="1" width="23.28515625" bestFit="1" customWidth="1"/>
    <col min="2" max="2" width="23.28515625" customWidth="1"/>
    <col min="3" max="3" width="24.7109375" bestFit="1" customWidth="1"/>
    <col min="4" max="4" width="24.7109375" customWidth="1"/>
    <col min="5" max="5" width="16.85546875" bestFit="1" customWidth="1"/>
  </cols>
  <sheetData>
    <row r="1" spans="1:8" x14ac:dyDescent="0.25">
      <c r="A1" s="2" t="s">
        <v>57</v>
      </c>
      <c r="B1" s="2" t="s">
        <v>32</v>
      </c>
      <c r="C1" s="2" t="s">
        <v>67</v>
      </c>
      <c r="D1" s="2" t="s">
        <v>63</v>
      </c>
      <c r="E1" s="2" t="s">
        <v>64</v>
      </c>
      <c r="G1" s="4" t="s">
        <v>61</v>
      </c>
      <c r="H1" s="4">
        <v>4500</v>
      </c>
    </row>
    <row r="2" spans="1:8" x14ac:dyDescent="0.25">
      <c r="A2" s="2" t="s">
        <v>65</v>
      </c>
      <c r="B2" s="4">
        <v>3</v>
      </c>
      <c r="C2" s="7">
        <v>2500</v>
      </c>
      <c r="D2" s="7">
        <f>C2*B2</f>
        <v>7500</v>
      </c>
      <c r="E2" s="7">
        <f>D2*$H$1</f>
        <v>33750000</v>
      </c>
    </row>
    <row r="3" spans="1:8" x14ac:dyDescent="0.25">
      <c r="A3" s="2" t="s">
        <v>80</v>
      </c>
      <c r="B3" s="4">
        <v>30</v>
      </c>
      <c r="C3" s="7">
        <v>600</v>
      </c>
      <c r="D3" s="7">
        <f t="shared" ref="D3:D7" si="0">C3*B3</f>
        <v>18000</v>
      </c>
      <c r="E3" s="7">
        <f t="shared" ref="E3:E7" si="1">D3*$H$1</f>
        <v>81000000</v>
      </c>
    </row>
    <row r="4" spans="1:8" x14ac:dyDescent="0.25">
      <c r="A4" s="2" t="s">
        <v>81</v>
      </c>
      <c r="B4" s="4">
        <v>3</v>
      </c>
      <c r="C4" s="7">
        <v>150</v>
      </c>
      <c r="D4" s="7">
        <f t="shared" si="0"/>
        <v>450</v>
      </c>
      <c r="E4" s="7">
        <f t="shared" si="1"/>
        <v>2025000</v>
      </c>
    </row>
    <row r="5" spans="1:8" x14ac:dyDescent="0.25">
      <c r="A5" s="2" t="s">
        <v>82</v>
      </c>
      <c r="B5" s="4">
        <v>30</v>
      </c>
      <c r="C5" s="7">
        <v>30</v>
      </c>
      <c r="D5" s="7">
        <f t="shared" si="0"/>
        <v>900</v>
      </c>
      <c r="E5" s="7">
        <f t="shared" si="1"/>
        <v>4050000</v>
      </c>
    </row>
    <row r="6" spans="1:8" x14ac:dyDescent="0.25">
      <c r="A6" s="2" t="s">
        <v>83</v>
      </c>
      <c r="B6" s="4">
        <v>3</v>
      </c>
      <c r="C6" s="7">
        <v>300</v>
      </c>
      <c r="D6" s="7">
        <f t="shared" si="0"/>
        <v>900</v>
      </c>
      <c r="E6" s="7">
        <f t="shared" si="1"/>
        <v>4050000</v>
      </c>
    </row>
    <row r="7" spans="1:8" x14ac:dyDescent="0.25">
      <c r="A7" s="2" t="s">
        <v>66</v>
      </c>
      <c r="B7" s="4">
        <v>1</v>
      </c>
      <c r="C7" s="7">
        <v>1000</v>
      </c>
      <c r="D7" s="7">
        <f t="shared" si="0"/>
        <v>1000</v>
      </c>
      <c r="E7" s="7">
        <f t="shared" si="1"/>
        <v>4500000</v>
      </c>
    </row>
    <row r="8" spans="1:8" x14ac:dyDescent="0.25">
      <c r="D8" s="4" t="s">
        <v>8</v>
      </c>
      <c r="E8" s="7">
        <f>SUM(E2:E7)</f>
        <v>129375000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Flujo de Caja</vt:lpstr>
      <vt:lpstr>Ingresos</vt:lpstr>
      <vt:lpstr>Costos</vt:lpstr>
      <vt:lpstr>Inversión</vt:lpstr>
      <vt:lpstr>Insumos</vt:lpstr>
      <vt:lpstr>Honorarios</vt:lpstr>
      <vt:lpstr>Energía Eléctrica</vt:lpstr>
      <vt:lpstr>Salarios Operarios</vt:lpstr>
      <vt:lpstr>Mantenimiento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Jhonathann Gómez Velásquez</dc:creator>
  <cp:lastModifiedBy>Jhonathann Gómez Velásquez</cp:lastModifiedBy>
  <dcterms:created xsi:type="dcterms:W3CDTF">2025-07-14T23:30:47Z</dcterms:created>
  <dcterms:modified xsi:type="dcterms:W3CDTF">2025-07-20T05:27:07Z</dcterms:modified>
</cp:coreProperties>
</file>