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drawings/drawing1.xml" ContentType="application/vnd.openxmlformats-officedocument.drawing+xml"/>
  <Override PartName="/xl/tables/table1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8d8db5c7a2c79dd/문서/"/>
    </mc:Choice>
  </mc:AlternateContent>
  <xr:revisionPtr revIDLastSave="827" documentId="6_{5A323E48-DD3B-4DD7-85A9-3D8430E72DB1}" xr6:coauthVersionLast="47" xr6:coauthVersionMax="47" xr10:uidLastSave="{E250C8D2-9F07-438B-9B9F-2AA532C34518}"/>
  <bookViews>
    <workbookView xWindow="-110" yWindow="-110" windowWidth="25820" windowHeight="13900" activeTab="2" xr2:uid="{FC9F7C52-8CC4-43B2-A95D-05CC98FBD406}"/>
  </bookViews>
  <sheets>
    <sheet name="Revenue" sheetId="1" r:id="rId1"/>
    <sheet name="Expense" sheetId="2" r:id="rId2"/>
    <sheet name="Net Income Calcul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  <c r="C48" i="1" s="1"/>
  <c r="C56" i="2"/>
  <c r="C40" i="2"/>
  <c r="C36" i="2"/>
  <c r="C35" i="2"/>
  <c r="B12" i="3"/>
  <c r="C34" i="2" s="1"/>
  <c r="G2" i="1"/>
  <c r="G5" i="1" s="1"/>
  <c r="C52" i="2"/>
  <c r="C63" i="2"/>
  <c r="C62" i="2"/>
  <c r="C39" i="2"/>
  <c r="C47" i="2"/>
  <c r="B20" i="1"/>
  <c r="D46" i="2"/>
  <c r="C55" i="2"/>
  <c r="C54" i="2"/>
  <c r="C53" i="2"/>
  <c r="C51" i="2"/>
  <c r="C50" i="2"/>
  <c r="C49" i="2"/>
  <c r="C48" i="2"/>
  <c r="C46" i="2"/>
  <c r="C43" i="2"/>
  <c r="C45" i="2"/>
  <c r="C44" i="2"/>
  <c r="B28" i="2" a="1"/>
  <c r="B28" i="2" s="1"/>
  <c r="B22" i="2" a="1"/>
  <c r="B22" i="2" s="1"/>
  <c r="B14" i="2" a="1"/>
  <c r="B14" i="2" s="1"/>
  <c r="B16" i="2" s="1" a="1"/>
  <c r="B16" i="2" s="1"/>
  <c r="F4" i="2" s="1" a="1"/>
  <c r="F4" i="2" s="1"/>
  <c r="C14" i="2" a="1"/>
  <c r="C14" i="2" s="1"/>
  <c r="B8" i="1"/>
  <c r="D2" i="1"/>
  <c r="K12" i="1" l="1"/>
  <c r="K21" i="1" s="1"/>
  <c r="D22" i="1" s="1"/>
  <c r="C30" i="1" s="1" a="1"/>
  <c r="C30" i="1" s="1"/>
  <c r="K13" i="1"/>
  <c r="F14" i="1"/>
  <c r="N6" i="1" s="1"/>
  <c r="K10" i="1"/>
  <c r="K11" i="1"/>
  <c r="D14" i="1"/>
  <c r="B14" i="1"/>
  <c r="C14" i="1"/>
  <c r="E14" i="1"/>
  <c r="K14" i="1" l="1"/>
  <c r="L13" i="1"/>
  <c r="N7" i="1"/>
  <c r="K20" i="1"/>
  <c r="C22" i="1" s="1"/>
  <c r="C29" i="1" s="1" a="1"/>
  <c r="C29" i="1" s="1"/>
  <c r="K17" i="1"/>
  <c r="K23" i="1" s="1" a="1"/>
  <c r="K23" i="1" s="1"/>
  <c r="F22" i="1" s="1"/>
  <c r="C31" i="1" s="1" a="1"/>
  <c r="C31" i="1" s="1"/>
  <c r="L11" i="1"/>
  <c r="L10" i="1"/>
  <c r="O6" i="1"/>
  <c r="O7" i="1" s="1"/>
  <c r="D15" i="1" s="1"/>
  <c r="L12" i="1"/>
  <c r="D54" i="2"/>
  <c r="D44" i="2"/>
  <c r="D55" i="2"/>
  <c r="D43" i="2"/>
  <c r="D53" i="2"/>
  <c r="D52" i="2"/>
  <c r="D51" i="2"/>
  <c r="D50" i="2"/>
  <c r="D49" i="2"/>
  <c r="D48" i="2"/>
  <c r="D45" i="2"/>
  <c r="D47" i="2"/>
  <c r="E12" i="1"/>
  <c r="B12" i="1"/>
  <c r="K6" i="1" s="1"/>
  <c r="C12" i="1"/>
  <c r="B22" i="1" l="1"/>
  <c r="C28" i="1" s="1" a="1"/>
  <c r="C28" i="1" s="1"/>
  <c r="C32" i="2" s="1"/>
  <c r="L14" i="1"/>
  <c r="F16" i="1"/>
  <c r="K22" i="1"/>
  <c r="E22" i="1" s="1"/>
  <c r="C32" i="1" s="1" a="1"/>
  <c r="C32" i="1" s="1"/>
  <c r="K7" i="1"/>
  <c r="B15" i="1" s="1"/>
  <c r="B16" i="1"/>
  <c r="M6" i="1"/>
  <c r="L6" i="1"/>
  <c r="C41" i="2"/>
  <c r="C37" i="1" l="1"/>
  <c r="C44" i="1"/>
  <c r="C33" i="2"/>
  <c r="C33" i="1"/>
  <c r="C35" i="1"/>
  <c r="C41" i="1"/>
  <c r="L7" i="1"/>
  <c r="C15" i="1" s="1"/>
  <c r="C16" i="1"/>
  <c r="M7" i="1"/>
  <c r="E15" i="1" s="1"/>
  <c r="D16" i="1"/>
  <c r="C45" i="1" s="1"/>
  <c r="F15" i="1"/>
  <c r="E16" i="1"/>
  <c r="C38" i="1" s="1"/>
  <c r="D40" i="2"/>
  <c r="D39" i="2"/>
  <c r="D31" i="1" l="1"/>
  <c r="D32" i="1"/>
  <c r="D28" i="1"/>
  <c r="D29" i="1"/>
  <c r="D30" i="1"/>
  <c r="C37" i="2"/>
  <c r="D33" i="2" s="1"/>
  <c r="C36" i="1"/>
  <c r="C42" i="1"/>
  <c r="C43" i="1"/>
  <c r="C46" i="1" l="1"/>
  <c r="D41" i="1" s="1"/>
  <c r="D32" i="2"/>
  <c r="D36" i="2"/>
  <c r="D35" i="2"/>
  <c r="D34" i="2"/>
  <c r="C39" i="1"/>
  <c r="D43" i="1" l="1"/>
  <c r="D44" i="1"/>
  <c r="D45" i="1"/>
  <c r="D42" i="1"/>
  <c r="D35" i="1"/>
  <c r="D38" i="1"/>
  <c r="D37" i="1"/>
  <c r="D36" i="1"/>
  <c r="C49" i="1"/>
  <c r="B3" i="3" l="1"/>
  <c r="G36" i="2"/>
  <c r="E31" i="1"/>
  <c r="C58" i="2"/>
  <c r="E32" i="1"/>
  <c r="E29" i="1"/>
  <c r="E30" i="1"/>
  <c r="E28" i="1"/>
  <c r="E33" i="1"/>
  <c r="E39" i="1"/>
  <c r="E48" i="1"/>
  <c r="E36" i="1"/>
  <c r="E46" i="1"/>
  <c r="E42" i="1"/>
  <c r="E43" i="1"/>
  <c r="E41" i="1"/>
  <c r="E38" i="1"/>
  <c r="E45" i="1"/>
  <c r="E34" i="1"/>
  <c r="E44" i="1"/>
  <c r="E35" i="1"/>
  <c r="E37" i="1"/>
  <c r="B10" i="3" l="1" a="1"/>
  <c r="B10" i="3" s="1"/>
  <c r="J38" i="2"/>
  <c r="I38" i="2"/>
  <c r="H38" i="2"/>
  <c r="E49" i="1"/>
  <c r="H36" i="2" l="1"/>
  <c r="G38" i="2" s="1"/>
  <c r="G40" i="2" s="1"/>
  <c r="I40" i="2"/>
  <c r="B14" i="3" s="1"/>
  <c r="B13" i="3" l="1"/>
  <c r="C60" i="2"/>
  <c r="C64" i="2" s="1"/>
  <c r="C65" i="2" s="1"/>
  <c r="B4" i="3" s="1"/>
  <c r="B7" i="3" s="1"/>
  <c r="B15" i="3" l="1"/>
  <c r="E34" i="2"/>
  <c r="D63" i="2"/>
  <c r="E60" i="2"/>
  <c r="E37" i="2"/>
  <c r="E33" i="2"/>
  <c r="E46" i="2"/>
  <c r="E50" i="2"/>
  <c r="E51" i="2"/>
  <c r="B67" i="2"/>
  <c r="E64" i="2"/>
  <c r="D60" i="2"/>
  <c r="D62" i="2"/>
  <c r="E39" i="2"/>
  <c r="E40" i="2"/>
  <c r="E48" i="2"/>
  <c r="E49" i="2"/>
  <c r="E36" i="2"/>
  <c r="E58" i="2"/>
  <c r="E52" i="2"/>
  <c r="E54" i="2"/>
  <c r="E56" i="2"/>
  <c r="E41" i="2"/>
  <c r="E43" i="2"/>
  <c r="E55" i="2"/>
  <c r="E62" i="2"/>
  <c r="E35" i="2"/>
  <c r="E47" i="2"/>
  <c r="E32" i="2"/>
  <c r="E53" i="2"/>
  <c r="B9" i="3"/>
  <c r="E45" i="2"/>
  <c r="B8" i="3" a="1"/>
  <c r="B8" i="3" s="1"/>
  <c r="E63" i="2"/>
  <c r="D58" i="2"/>
  <c r="E44" i="2"/>
  <c r="B5" i="3"/>
  <c r="B16" i="3" s="1"/>
  <c r="B6" i="3"/>
  <c r="E6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<sst xmlns="http://schemas.openxmlformats.org/spreadsheetml/2006/main" count="213" uniqueCount="159">
  <si>
    <t>Rebalancing Fee</t>
    <phoneticPr fontId="2" type="noConversion"/>
  </si>
  <si>
    <t>Partner Routing</t>
    <phoneticPr fontId="2" type="noConversion"/>
  </si>
  <si>
    <t>Trading</t>
    <phoneticPr fontId="2" type="noConversion"/>
  </si>
  <si>
    <t>HOOATS - Orderbook</t>
    <phoneticPr fontId="2" type="noConversion"/>
  </si>
  <si>
    <t>Category</t>
    <phoneticPr fontId="2" type="noConversion"/>
  </si>
  <si>
    <t>Amount (M)</t>
    <phoneticPr fontId="2" type="noConversion"/>
  </si>
  <si>
    <t>Trading Total</t>
    <phoneticPr fontId="2" type="noConversion"/>
  </si>
  <si>
    <t>Rebalancing</t>
    <phoneticPr fontId="2" type="noConversion"/>
  </si>
  <si>
    <t>L1</t>
    <phoneticPr fontId="2" type="noConversion"/>
  </si>
  <si>
    <t>L2</t>
    <phoneticPr fontId="2" type="noConversion"/>
  </si>
  <si>
    <t>Partner Indices</t>
    <phoneticPr fontId="2" type="noConversion"/>
  </si>
  <si>
    <t>VS Theme</t>
    <phoneticPr fontId="2" type="noConversion"/>
  </si>
  <si>
    <t>Rebalancing Total</t>
    <phoneticPr fontId="2" type="noConversion"/>
  </si>
  <si>
    <t>Primary Market Volume (L1-L2-VS)</t>
    <phoneticPr fontId="2" type="noConversion"/>
  </si>
  <si>
    <t>Mgmt</t>
    <phoneticPr fontId="2" type="noConversion"/>
  </si>
  <si>
    <t>Partner</t>
    <phoneticPr fontId="2" type="noConversion"/>
  </si>
  <si>
    <t>L3</t>
    <phoneticPr fontId="2" type="noConversion"/>
  </si>
  <si>
    <t>Launcher</t>
    <phoneticPr fontId="2" type="noConversion"/>
  </si>
  <si>
    <t>HOOATS - AMM</t>
    <phoneticPr fontId="2" type="noConversion"/>
  </si>
  <si>
    <t>VIP0</t>
    <phoneticPr fontId="2" type="noConversion"/>
  </si>
  <si>
    <t>VIP1</t>
    <phoneticPr fontId="2" type="noConversion"/>
  </si>
  <si>
    <t>VIP2</t>
    <phoneticPr fontId="2" type="noConversion"/>
  </si>
  <si>
    <t>VIP3</t>
    <phoneticPr fontId="2" type="noConversion"/>
  </si>
  <si>
    <t>VIP4</t>
    <phoneticPr fontId="2" type="noConversion"/>
  </si>
  <si>
    <t>Fee Tier</t>
    <phoneticPr fontId="2" type="noConversion"/>
  </si>
  <si>
    <t>Management Fee</t>
    <phoneticPr fontId="2" type="noConversion"/>
  </si>
  <si>
    <t>Categories</t>
    <phoneticPr fontId="2" type="noConversion"/>
  </si>
  <si>
    <t>N/A</t>
    <phoneticPr fontId="2" type="noConversion"/>
  </si>
  <si>
    <t>GMV Volume%</t>
    <phoneticPr fontId="2" type="noConversion"/>
  </si>
  <si>
    <t>Turnover Ratio</t>
    <phoneticPr fontId="2" type="noConversion"/>
  </si>
  <si>
    <t>HOOATS - Orderbook Internal</t>
    <phoneticPr fontId="2" type="noConversion"/>
  </si>
  <si>
    <t>HOOATS - AMM Internal</t>
    <phoneticPr fontId="2" type="noConversion"/>
  </si>
  <si>
    <t>Percentage</t>
    <phoneticPr fontId="2" type="noConversion"/>
  </si>
  <si>
    <t>Mgmt Total</t>
    <phoneticPr fontId="2" type="noConversion"/>
  </si>
  <si>
    <t>Total</t>
    <phoneticPr fontId="2" type="noConversion"/>
  </si>
  <si>
    <t>Sub-Category</t>
    <phoneticPr fontId="2" type="noConversion"/>
  </si>
  <si>
    <t>Percentage Per Category</t>
    <phoneticPr fontId="2" type="noConversion"/>
  </si>
  <si>
    <t>Percentage Per Total</t>
    <phoneticPr fontId="2" type="noConversion"/>
  </si>
  <si>
    <t>Launcher Total</t>
    <phoneticPr fontId="2" type="noConversion"/>
  </si>
  <si>
    <t>AUM (B)</t>
    <phoneticPr fontId="2" type="noConversion"/>
  </si>
  <si>
    <t>Trading Volume (B)</t>
    <phoneticPr fontId="2" type="noConversion"/>
  </si>
  <si>
    <t>Referral Tier</t>
    <phoneticPr fontId="2" type="noConversion"/>
  </si>
  <si>
    <t>Individuals</t>
    <phoneticPr fontId="2" type="noConversion"/>
  </si>
  <si>
    <t>Tier 0</t>
    <phoneticPr fontId="2" type="noConversion"/>
  </si>
  <si>
    <t>Tier 1</t>
    <phoneticPr fontId="2" type="noConversion"/>
  </si>
  <si>
    <t>Tier 2</t>
    <phoneticPr fontId="2" type="noConversion"/>
  </si>
  <si>
    <t>Tier 3</t>
    <phoneticPr fontId="2" type="noConversion"/>
  </si>
  <si>
    <t>Tier 4</t>
    <phoneticPr fontId="2" type="noConversion"/>
  </si>
  <si>
    <t>%</t>
    <phoneticPr fontId="2" type="noConversion"/>
  </si>
  <si>
    <t>Individuals %</t>
    <phoneticPr fontId="2" type="noConversion"/>
  </si>
  <si>
    <t>Blended Average</t>
    <phoneticPr fontId="2" type="noConversion"/>
  </si>
  <si>
    <t>Percentage from Total Referral Users</t>
    <phoneticPr fontId="2" type="noConversion"/>
  </si>
  <si>
    <t>Final Blended Referral Rate</t>
    <phoneticPr fontId="2" type="noConversion"/>
  </si>
  <si>
    <t>% of Users</t>
    <phoneticPr fontId="2" type="noConversion"/>
  </si>
  <si>
    <t>Referral Register / All</t>
    <phoneticPr fontId="2" type="noConversion"/>
  </si>
  <si>
    <t>Influencers/KOLs</t>
    <phoneticPr fontId="2" type="noConversion"/>
  </si>
  <si>
    <t>Influencers/KOLs %</t>
    <phoneticPr fontId="2" type="noConversion"/>
  </si>
  <si>
    <t>Referral Expenses %</t>
    <phoneticPr fontId="2" type="noConversion"/>
  </si>
  <si>
    <t>DEX Tiers</t>
    <phoneticPr fontId="2" type="noConversion"/>
  </si>
  <si>
    <t>Partner DEX Revenue Share</t>
    <phoneticPr fontId="2" type="noConversion"/>
  </si>
  <si>
    <t>DT 1</t>
    <phoneticPr fontId="2" type="noConversion"/>
  </si>
  <si>
    <t>DT 0</t>
    <phoneticPr fontId="2" type="noConversion"/>
  </si>
  <si>
    <t>DT 2</t>
    <phoneticPr fontId="2" type="noConversion"/>
  </si>
  <si>
    <t>PT 0</t>
    <phoneticPr fontId="2" type="noConversion"/>
  </si>
  <si>
    <t>PT 1</t>
    <phoneticPr fontId="2" type="noConversion"/>
  </si>
  <si>
    <t>PT 2</t>
    <phoneticPr fontId="2" type="noConversion"/>
  </si>
  <si>
    <t>Single Event - Promoter Tier</t>
    <phoneticPr fontId="2" type="noConversion"/>
  </si>
  <si>
    <t>Influencers/KOLs(+Streamers) Performance Bonus</t>
    <phoneticPr fontId="2" type="noConversion"/>
  </si>
  <si>
    <t>Fixed Payment (K) If they gets Fixed Payments, their Tier gets down</t>
    <phoneticPr fontId="2" type="noConversion"/>
  </si>
  <si>
    <t>Marketing &amp; CS</t>
    <phoneticPr fontId="2" type="noConversion"/>
  </si>
  <si>
    <t>Customer Service</t>
    <phoneticPr fontId="2" type="noConversion"/>
  </si>
  <si>
    <t>Marketing &amp; CS Total</t>
    <phoneticPr fontId="2" type="noConversion"/>
  </si>
  <si>
    <t>Security &amp; Audits</t>
    <phoneticPr fontId="2" type="noConversion"/>
  </si>
  <si>
    <t>Infra / Clouds</t>
    <phoneticPr fontId="2" type="noConversion"/>
  </si>
  <si>
    <t>General Ops &amp; Legal Compliance</t>
    <phoneticPr fontId="2" type="noConversion"/>
  </si>
  <si>
    <t xml:space="preserve">Smart Contract Audit </t>
    <phoneticPr fontId="2" type="noConversion"/>
  </si>
  <si>
    <t>Bug Bounty &amp; Monitoring</t>
    <phoneticPr fontId="2" type="noConversion"/>
  </si>
  <si>
    <t>Security &amp; Audits Total</t>
    <phoneticPr fontId="2" type="noConversion"/>
  </si>
  <si>
    <t>Community &amp; Brand Marketing</t>
    <phoneticPr fontId="2" type="noConversion"/>
  </si>
  <si>
    <t>Database</t>
    <phoneticPr fontId="2" type="noConversion"/>
  </si>
  <si>
    <t>Chain RPC</t>
    <phoneticPr fontId="2" type="noConversion"/>
  </si>
  <si>
    <t>CDN egress (CloudFront)</t>
  </si>
  <si>
    <t>S3 egress</t>
    <phoneticPr fontId="2" type="noConversion"/>
  </si>
  <si>
    <t>EC2/EKS</t>
    <phoneticPr fontId="2" type="noConversion"/>
  </si>
  <si>
    <t>S3 Save/Logging</t>
    <phoneticPr fontId="2" type="noConversion"/>
  </si>
  <si>
    <t>Redis</t>
    <phoneticPr fontId="2" type="noConversion"/>
  </si>
  <si>
    <t>Search/Log(ES/OS/Loki)</t>
    <phoneticPr fontId="2" type="noConversion"/>
  </si>
  <si>
    <t>Messaing &amp; Queue</t>
    <phoneticPr fontId="2" type="noConversion"/>
  </si>
  <si>
    <t>Security/Edge/Firewall/Bot Mananging</t>
    <phoneticPr fontId="2" type="noConversion"/>
  </si>
  <si>
    <t>Infra &amp; Clouds Total</t>
  </si>
  <si>
    <t>Monitoring / Logs</t>
    <phoneticPr fontId="2" type="noConversion"/>
  </si>
  <si>
    <t>Cross Chain Messaging</t>
    <phoneticPr fontId="2" type="noConversion"/>
  </si>
  <si>
    <t>Aggregators</t>
    <phoneticPr fontId="2" type="noConversion"/>
  </si>
  <si>
    <t>MM &amp; Liquidity Incentives</t>
    <phoneticPr fontId="2" type="noConversion"/>
  </si>
  <si>
    <t>Human Resources</t>
    <phoneticPr fontId="2" type="noConversion"/>
  </si>
  <si>
    <t>Payrolls</t>
    <phoneticPr fontId="2" type="noConversion"/>
  </si>
  <si>
    <t>Legal Compilaances</t>
    <phoneticPr fontId="2" type="noConversion"/>
  </si>
  <si>
    <t>General Ops</t>
    <phoneticPr fontId="2" type="noConversion"/>
  </si>
  <si>
    <t>Small Caps Total</t>
    <phoneticPr fontId="2" type="noConversion"/>
  </si>
  <si>
    <t>Primary Market %</t>
    <phoneticPr fontId="2" type="noConversion"/>
  </si>
  <si>
    <t>Primary Market Volume</t>
    <phoneticPr fontId="2" type="noConversion"/>
  </si>
  <si>
    <t>R</t>
    <phoneticPr fontId="2" type="noConversion"/>
  </si>
  <si>
    <t>Vs</t>
    <phoneticPr fontId="2" type="noConversion"/>
  </si>
  <si>
    <t>r</t>
    <phoneticPr fontId="2" type="noConversion"/>
  </si>
  <si>
    <t>d</t>
    <phoneticPr fontId="2" type="noConversion"/>
  </si>
  <si>
    <t>-</t>
    <phoneticPr fontId="2" type="noConversion"/>
  </si>
  <si>
    <t>AUM</t>
    <phoneticPr fontId="2" type="noConversion"/>
  </si>
  <si>
    <t>Turnover</t>
    <phoneticPr fontId="2" type="noConversion"/>
  </si>
  <si>
    <t>Bonding Curve</t>
    <phoneticPr fontId="2" type="noConversion"/>
  </si>
  <si>
    <t>Trading Fee Rate</t>
    <phoneticPr fontId="2" type="noConversion"/>
  </si>
  <si>
    <t>Fee Tier Distribution</t>
    <phoneticPr fontId="2" type="noConversion"/>
  </si>
  <si>
    <t>GMV (Trading Volume)</t>
    <phoneticPr fontId="2" type="noConversion"/>
  </si>
  <si>
    <t>Layer 1</t>
    <phoneticPr fontId="2" type="noConversion"/>
  </si>
  <si>
    <t>Layer 2</t>
    <phoneticPr fontId="2" type="noConversion"/>
  </si>
  <si>
    <t>Layer 3</t>
    <phoneticPr fontId="2" type="noConversion"/>
  </si>
  <si>
    <t>total</t>
    <phoneticPr fontId="2" type="noConversion"/>
  </si>
  <si>
    <t>Turnover Factor</t>
    <phoneticPr fontId="2" type="noConversion"/>
  </si>
  <si>
    <t>Routing</t>
    <phoneticPr fontId="2" type="noConversion"/>
  </si>
  <si>
    <t>Type</t>
    <phoneticPr fontId="2" type="noConversion"/>
  </si>
  <si>
    <t>HOOATS internal</t>
    <phoneticPr fontId="2" type="noConversion"/>
  </si>
  <si>
    <t>Bonding Curve internal</t>
    <phoneticPr fontId="2" type="noConversion"/>
  </si>
  <si>
    <t>Bonding Curve Internal</t>
    <phoneticPr fontId="2" type="noConversion"/>
  </si>
  <si>
    <t>p</t>
    <phoneticPr fontId="2" type="noConversion"/>
  </si>
  <si>
    <t>Secondary Trading Volume</t>
    <phoneticPr fontId="2" type="noConversion"/>
  </si>
  <si>
    <t>Secondary Trading %</t>
    <phoneticPr fontId="2" type="noConversion"/>
  </si>
  <si>
    <t>Internal Volume (B)</t>
    <phoneticPr fontId="2" type="noConversion"/>
  </si>
  <si>
    <t>Routing Volume (B)</t>
    <phoneticPr fontId="2" type="noConversion"/>
  </si>
  <si>
    <t>Volume(B)</t>
    <phoneticPr fontId="2" type="noConversion"/>
  </si>
  <si>
    <t>Volume (B)</t>
    <phoneticPr fontId="2" type="noConversion"/>
  </si>
  <si>
    <t>L2 &amp; VS</t>
    <phoneticPr fontId="2" type="noConversion"/>
  </si>
  <si>
    <t>Net Income</t>
    <phoneticPr fontId="2" type="noConversion"/>
  </si>
  <si>
    <t>Liquidity / Market Makers</t>
    <phoneticPr fontId="2" type="noConversion"/>
  </si>
  <si>
    <t>Referral Commissions</t>
    <phoneticPr fontId="2" type="noConversion"/>
  </si>
  <si>
    <t>Routing Revenue Share</t>
    <phoneticPr fontId="2" type="noConversion"/>
  </si>
  <si>
    <t>Single Events Fixed Payment (400 Events/Year &amp; Fixed Payment Accept Rate 55%)</t>
    <phoneticPr fontId="2" type="noConversion"/>
  </si>
  <si>
    <t>Blended Fee Rate</t>
    <phoneticPr fontId="2" type="noConversion"/>
  </si>
  <si>
    <t>GMV</t>
    <phoneticPr fontId="2" type="noConversion"/>
  </si>
  <si>
    <t>Revenue</t>
    <phoneticPr fontId="2" type="noConversion"/>
  </si>
  <si>
    <t>Launcher Amount</t>
    <phoneticPr fontId="2" type="noConversion"/>
  </si>
  <si>
    <t>Event Numbers</t>
    <phoneticPr fontId="2" type="noConversion"/>
  </si>
  <si>
    <t>Expense</t>
    <phoneticPr fontId="2" type="noConversion"/>
  </si>
  <si>
    <t>Net Income %</t>
    <phoneticPr fontId="2" type="noConversion"/>
  </si>
  <si>
    <t>VE/TE</t>
    <phoneticPr fontId="2" type="noConversion"/>
  </si>
  <si>
    <t>FE/TE</t>
    <phoneticPr fontId="2" type="noConversion"/>
  </si>
  <si>
    <t>Revenue Share/TE</t>
    <phoneticPr fontId="2" type="noConversion"/>
  </si>
  <si>
    <t>RS/TR</t>
    <phoneticPr fontId="2" type="noConversion"/>
  </si>
  <si>
    <t>직원 월급 총 비용 M</t>
    <phoneticPr fontId="2" type="noConversion"/>
  </si>
  <si>
    <t>임원 월급 총 비용</t>
    <phoneticPr fontId="2" type="noConversion"/>
  </si>
  <si>
    <t>임원 연봉 자원</t>
    <phoneticPr fontId="2" type="noConversion"/>
  </si>
  <si>
    <t>직원 수</t>
    <phoneticPr fontId="2" type="noConversion"/>
  </si>
  <si>
    <t>직원 총급여</t>
    <phoneticPr fontId="2" type="noConversion"/>
  </si>
  <si>
    <t>남은예산</t>
    <phoneticPr fontId="2" type="noConversion"/>
  </si>
  <si>
    <t>임원별 연봉</t>
    <phoneticPr fontId="2" type="noConversion"/>
  </si>
  <si>
    <t>Variables</t>
    <phoneticPr fontId="2" type="noConversion"/>
  </si>
  <si>
    <t>Payrolls-Employee</t>
    <phoneticPr fontId="2" type="noConversion"/>
  </si>
  <si>
    <t>직원별급여</t>
    <phoneticPr fontId="2" type="noConversion"/>
  </si>
  <si>
    <t>Initial Payrolls-C Level</t>
    <phoneticPr fontId="2" type="noConversion"/>
  </si>
  <si>
    <t>Payrolls-After Bonus (C)</t>
    <phoneticPr fontId="2" type="noConversion"/>
  </si>
  <si>
    <t>Payrolls-After Bonus (E)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</si>
</sst>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0.0%"/>
    <numFmt numFmtId="177" formatCode="0.000%"/>
    <numFmt numFmtId="178" formatCode="0.0000%"/>
    <numFmt numFmtId="180" formatCode="_-* #,##0.00_-;\-* #,##0.00_-;_-* &quot;-&quot;_-;_-@_-"/>
    <numFmt numFmtId="181" formatCode="_-* #,##0.000_-;\-* #,##0.000_-;_-* &quot;-&quot;_-;_-@_-"/>
    <numFmt numFmtId="182" formatCode="_-* #,##0.0000_-;\-* #,##0.00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  <font>
      <sz val="11"/>
      <color rgb="FF64748B"/>
      <name val="Segoe UI"/>
      <family val="2"/>
    </font>
    <font>
      <sz val="11"/>
      <color rgb="FFFFFFFF"/>
      <name val="Segoe UI"/>
      <family val="2"/>
    </font>
    <font>
      <sz val="11"/>
      <color theme="1"/>
      <name val="Segoe UI"/>
      <family val="2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10" fontId="0" fillId="0" borderId="0" xfId="2" applyNumberFormat="1" applyFont="1">
      <alignment vertical="center"/>
    </xf>
    <xf numFmtId="9" fontId="0" fillId="0" borderId="0" xfId="0" applyNumberFormat="1">
      <alignment vertical="center"/>
    </xf>
    <xf numFmtId="10" fontId="3" fillId="0" borderId="0" xfId="2" applyNumberFormat="1" applyFont="1">
      <alignment vertical="center"/>
    </xf>
    <xf numFmtId="10" fontId="4" fillId="0" borderId="0" xfId="2" applyNumberFormat="1" applyFont="1">
      <alignment vertical="center"/>
    </xf>
    <xf numFmtId="9" fontId="4" fillId="0" borderId="0" xfId="0" applyNumberFormat="1" applyFont="1">
      <alignment vertical="center"/>
    </xf>
    <xf numFmtId="178" fontId="4" fillId="0" borderId="0" xfId="2" applyNumberFormat="1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0" fontId="5" fillId="0" borderId="0" xfId="2" applyNumberFormat="1" applyFont="1" applyAlignment="1">
      <alignment horizontal="right" vertical="center"/>
    </xf>
    <xf numFmtId="9" fontId="5" fillId="0" borderId="0" xfId="0" applyNumberFormat="1" applyFont="1" applyAlignment="1">
      <alignment horizontal="right" vertical="center"/>
    </xf>
    <xf numFmtId="180" fontId="0" fillId="0" borderId="0" xfId="1" applyNumberFormat="1" applyFont="1">
      <alignment vertical="center"/>
    </xf>
    <xf numFmtId="176" fontId="0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76" fontId="3" fillId="0" borderId="0" xfId="2" applyNumberFormat="1" applyFont="1">
      <alignment vertical="center"/>
    </xf>
    <xf numFmtId="180" fontId="5" fillId="0" borderId="0" xfId="1" applyNumberFormat="1" applyFont="1">
      <alignment vertical="center"/>
    </xf>
    <xf numFmtId="180" fontId="5" fillId="0" borderId="0" xfId="1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3" fillId="2" borderId="0" xfId="0" applyFont="1" applyFill="1">
      <alignment vertical="center"/>
    </xf>
    <xf numFmtId="9" fontId="3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177" fontId="6" fillId="3" borderId="0" xfId="0" applyNumberFormat="1" applyFont="1" applyFill="1" applyAlignment="1">
      <alignment horizontal="right" vertical="center"/>
    </xf>
    <xf numFmtId="0" fontId="7" fillId="3" borderId="1" xfId="0" applyFont="1" applyFill="1" applyBorder="1">
      <alignment vertical="center"/>
    </xf>
    <xf numFmtId="177" fontId="7" fillId="3" borderId="2" xfId="0" applyNumberFormat="1" applyFont="1" applyFill="1" applyBorder="1">
      <alignment vertical="center"/>
    </xf>
    <xf numFmtId="178" fontId="6" fillId="3" borderId="0" xfId="0" applyNumberFormat="1" applyFont="1" applyFill="1" applyAlignment="1">
      <alignment horizontal="right" vertical="center"/>
    </xf>
    <xf numFmtId="9" fontId="6" fillId="3" borderId="0" xfId="0" applyNumberFormat="1" applyFont="1" applyFill="1" applyAlignment="1">
      <alignment horizontal="right" vertical="center"/>
    </xf>
    <xf numFmtId="10" fontId="6" fillId="3" borderId="0" xfId="2" applyNumberFormat="1" applyFont="1" applyFill="1">
      <alignment vertical="center"/>
    </xf>
    <xf numFmtId="10" fontId="0" fillId="0" borderId="0" xfId="2" applyNumberFormat="1" applyFont="1" applyFill="1" applyBorder="1">
      <alignment vertical="center"/>
    </xf>
    <xf numFmtId="10" fontId="5" fillId="0" borderId="0" xfId="2" applyNumberFormat="1" applyFont="1" applyFill="1" applyBorder="1" applyAlignment="1">
      <alignment horizontal="right" vertical="center"/>
    </xf>
    <xf numFmtId="180" fontId="5" fillId="0" borderId="0" xfId="1" applyNumberFormat="1" applyFont="1" applyFill="1" applyBorder="1" applyAlignment="1">
      <alignment horizontal="right" vertical="center"/>
    </xf>
    <xf numFmtId="180" fontId="0" fillId="0" borderId="0" xfId="1" applyNumberFormat="1" applyFont="1" applyFill="1" applyBorder="1">
      <alignment vertical="center"/>
    </xf>
    <xf numFmtId="180" fontId="5" fillId="0" borderId="0" xfId="0" applyNumberFormat="1" applyFont="1" applyAlignment="1">
      <alignment horizontal="right" vertical="center"/>
    </xf>
    <xf numFmtId="176" fontId="0" fillId="0" borderId="0" xfId="2" applyNumberFormat="1" applyFont="1" applyFill="1" applyBorder="1">
      <alignment vertical="center"/>
    </xf>
    <xf numFmtId="180" fontId="3" fillId="0" borderId="0" xfId="1" applyNumberFormat="1" applyFont="1" applyFill="1" applyBorder="1">
      <alignment vertical="center"/>
    </xf>
    <xf numFmtId="176" fontId="3" fillId="0" borderId="0" xfId="2" applyNumberFormat="1" applyFont="1" applyFill="1" applyBorder="1">
      <alignment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10" fontId="3" fillId="0" borderId="0" xfId="2" applyNumberFormat="1" applyFont="1" applyFill="1" applyBorder="1">
      <alignment vertical="center"/>
    </xf>
    <xf numFmtId="10" fontId="6" fillId="0" borderId="0" xfId="2" applyNumberFormat="1" applyFont="1">
      <alignment vertical="center"/>
    </xf>
    <xf numFmtId="0" fontId="9" fillId="0" borderId="0" xfId="0" applyFont="1" applyAlignment="1">
      <alignment vertical="center" wrapText="1"/>
    </xf>
    <xf numFmtId="10" fontId="9" fillId="0" borderId="0" xfId="0" applyNumberFormat="1" applyFont="1" applyAlignment="1">
      <alignment vertical="center" wrapText="1"/>
    </xf>
    <xf numFmtId="43" fontId="0" fillId="0" borderId="0" xfId="0" applyNumberFormat="1">
      <alignment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182" fontId="5" fillId="0" borderId="0" xfId="1" applyNumberFormat="1" applyFont="1" applyAlignment="1">
      <alignment horizontal="right" vertical="center"/>
    </xf>
    <xf numFmtId="181" fontId="0" fillId="0" borderId="0" xfId="1" applyNumberFormat="1" applyFont="1" applyAlignment="1">
      <alignment horizontal="left" vertical="top"/>
    </xf>
    <xf numFmtId="10" fontId="0" fillId="0" borderId="0" xfId="2" applyNumberFormat="1" applyFont="1" applyAlignment="1">
      <alignment horizontal="left" vertical="center"/>
    </xf>
    <xf numFmtId="180" fontId="0" fillId="0" borderId="0" xfId="1" applyNumberFormat="1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1" fillId="4" borderId="0" xfId="0" applyFont="1" applyFill="1">
      <alignment vertical="center"/>
    </xf>
    <xf numFmtId="176" fontId="11" fillId="4" borderId="0" xfId="2" applyNumberFormat="1" applyFont="1" applyFill="1">
      <alignment vertical="center"/>
    </xf>
    <xf numFmtId="0" fontId="3" fillId="5" borderId="0" xfId="0" applyFont="1" applyFill="1">
      <alignment vertical="center"/>
    </xf>
    <xf numFmtId="180" fontId="3" fillId="5" borderId="0" xfId="1" applyNumberFormat="1" applyFont="1" applyFill="1">
      <alignment vertical="center"/>
    </xf>
    <xf numFmtId="10" fontId="3" fillId="5" borderId="0" xfId="2" applyNumberFormat="1" applyFont="1" applyFill="1">
      <alignment vertical="center"/>
    </xf>
    <xf numFmtId="0" fontId="3" fillId="0" borderId="0" xfId="0" applyFont="1" applyFill="1">
      <alignment vertical="center"/>
    </xf>
    <xf numFmtId="180" fontId="3" fillId="0" borderId="0" xfId="0" applyNumberFormat="1" applyFont="1" applyFill="1">
      <alignment vertical="center"/>
    </xf>
    <xf numFmtId="10" fontId="3" fillId="0" borderId="0" xfId="2" applyNumberFormat="1" applyFont="1" applyFill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180" fontId="3" fillId="0" borderId="0" xfId="1" applyNumberFormat="1" applyFont="1" applyBorder="1">
      <alignment vertical="center"/>
    </xf>
    <xf numFmtId="10" fontId="3" fillId="0" borderId="0" xfId="2" applyNumberFormat="1" applyFont="1" applyBorder="1">
      <alignment vertical="center"/>
    </xf>
    <xf numFmtId="180" fontId="3" fillId="0" borderId="0" xfId="0" applyNumberFormat="1" applyFont="1" applyFill="1" applyAlignment="1">
      <alignment horizontal="right" vertical="center"/>
    </xf>
    <xf numFmtId="10" fontId="3" fillId="0" borderId="0" xfId="2" applyNumberFormat="1" applyFont="1" applyFill="1" applyBorder="1" applyAlignment="1">
      <alignment horizontal="right" vertical="center"/>
    </xf>
    <xf numFmtId="0" fontId="11" fillId="6" borderId="0" xfId="0" applyFont="1" applyFill="1">
      <alignment vertical="center"/>
    </xf>
    <xf numFmtId="10" fontId="11" fillId="6" borderId="0" xfId="2" applyNumberFormat="1" applyFont="1" applyFill="1" applyBorder="1">
      <alignment vertical="center"/>
    </xf>
    <xf numFmtId="10" fontId="11" fillId="6" borderId="0" xfId="0" applyNumberFormat="1" applyFont="1" applyFill="1">
      <alignment vertical="center"/>
    </xf>
    <xf numFmtId="0" fontId="0" fillId="0" borderId="4" xfId="0" applyBorder="1">
      <alignment vertical="center"/>
    </xf>
    <xf numFmtId="180" fontId="0" fillId="0" borderId="4" xfId="1" applyNumberFormat="1" applyFont="1" applyBorder="1">
      <alignment vertical="center"/>
    </xf>
    <xf numFmtId="10" fontId="6" fillId="0" borderId="4" xfId="2" applyNumberFormat="1" applyFont="1" applyBorder="1">
      <alignment vertical="center"/>
    </xf>
    <xf numFmtId="10" fontId="0" fillId="0" borderId="4" xfId="2" applyNumberFormat="1" applyFont="1" applyBorder="1">
      <alignment vertical="center"/>
    </xf>
    <xf numFmtId="180" fontId="0" fillId="0" borderId="4" xfId="1" applyNumberFormat="1" applyFont="1" applyFill="1" applyBorder="1">
      <alignment vertical="center"/>
    </xf>
    <xf numFmtId="10" fontId="0" fillId="0" borderId="4" xfId="2" applyNumberFormat="1" applyFont="1" applyFill="1" applyBorder="1">
      <alignment vertical="center"/>
    </xf>
    <xf numFmtId="41" fontId="3" fillId="0" borderId="0" xfId="1" applyFont="1" applyAlignment="1">
      <alignment horizontal="center" vertical="center" wrapText="1"/>
    </xf>
    <xf numFmtId="180" fontId="3" fillId="0" borderId="0" xfId="1" applyNumberFormat="1" applyFont="1">
      <alignment vertical="center"/>
    </xf>
    <xf numFmtId="180" fontId="11" fillId="4" borderId="0" xfId="1" applyNumberFormat="1" applyFont="1" applyFill="1">
      <alignment vertical="center"/>
    </xf>
    <xf numFmtId="180" fontId="11" fillId="6" borderId="0" xfId="0" applyNumberFormat="1" applyFont="1" applyFill="1">
      <alignment vertical="center"/>
    </xf>
    <xf numFmtId="41" fontId="0" fillId="0" borderId="0" xfId="0" applyNumberFormat="1">
      <alignment vertical="center"/>
    </xf>
    <xf numFmtId="9" fontId="0" fillId="0" borderId="0" xfId="2" applyFont="1">
      <alignment vertical="center"/>
    </xf>
    <xf numFmtId="0" fontId="0" fillId="0" borderId="0" xfId="0" applyBorder="1">
      <alignment vertical="center"/>
    </xf>
    <xf numFmtId="10" fontId="3" fillId="0" borderId="5" xfId="2" applyNumberFormat="1" applyFont="1" applyBorder="1">
      <alignment vertical="center"/>
    </xf>
    <xf numFmtId="180" fontId="0" fillId="0" borderId="0" xfId="1" applyNumberFormat="1" applyFont="1" applyBorder="1">
      <alignment vertical="center"/>
    </xf>
    <xf numFmtId="10" fontId="6" fillId="0" borderId="0" xfId="2" applyNumberFormat="1" applyFont="1" applyBorder="1">
      <alignment vertical="center"/>
    </xf>
    <xf numFmtId="10" fontId="0" fillId="0" borderId="0" xfId="2" applyNumberFormat="1" applyFont="1" applyBorder="1">
      <alignment vertical="center"/>
    </xf>
    <xf numFmtId="41" fontId="3" fillId="0" borderId="0" xfId="1" applyFont="1" applyAlignment="1">
      <alignment vertical="center" wrapText="1"/>
    </xf>
    <xf numFmtId="41" fontId="0" fillId="0" borderId="0" xfId="1" applyFont="1" applyAlignment="1">
      <alignment vertical="center" wrapText="1"/>
    </xf>
    <xf numFmtId="41" fontId="0" fillId="0" borderId="0" xfId="1" applyFont="1">
      <alignment vertical="center"/>
    </xf>
    <xf numFmtId="9" fontId="5" fillId="0" borderId="0" xfId="2" applyFont="1">
      <alignment vertical="center"/>
    </xf>
    <xf numFmtId="43" fontId="0" fillId="0" borderId="0" xfId="2" applyNumberFormat="1" applyFont="1">
      <alignment vertical="center"/>
    </xf>
    <xf numFmtId="41" fontId="0" fillId="0" borderId="0" xfId="2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family val="3"/>
      </font>
    </dxf>
    <dxf>
      <font>
        <i/>
        <family val="3"/>
      </font>
      <numFmt numFmtId="13" formatCode="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/>
        <family val="3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0" formatCode="_-* #,##0.00_-;\-* #,##0.00_-;_-* &quot;-&quot;_-;_-@_-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3" formatCode="_-* #,##0.00_-;&quot;₩&quot;\-* #,##0.00_-;_-* &quot;-&quot;_-;_-@_-"/>
      <alignment horizontal="lef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  <alignment horizontal="right" vertical="center" textRotation="0" wrapText="0" indent="0" justifyLastLine="0" shrinkToFit="0" readingOrder="0"/>
    </dxf>
    <dxf>
      <font>
        <b val="0"/>
        <family val="3"/>
      </font>
    </dxf>
    <dxf>
      <font>
        <b val="0"/>
        <family val="3"/>
      </font>
    </dxf>
    <dxf>
      <font>
        <b val="0"/>
        <family val="3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  <alignment horizontal="right" vertical="center" textRotation="0" wrapText="0" indent="0" justifyLastLine="0" shrinkToFit="0" readingOrder="0"/>
    </dxf>
    <dxf>
      <font>
        <i/>
        <family val="3"/>
      </font>
      <alignment horizontal="right" vertical="center" textRotation="0" wrapText="0" indent="0" justifyLastLine="0" shrinkToFit="0" readingOrder="0"/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  <numFmt numFmtId="14" formatCode="0.00%"/>
      <alignment horizontal="right" vertical="center" textRotation="0" wrapText="0" indent="0" justifyLastLine="0" shrinkToFit="0" readingOrder="0"/>
    </dxf>
    <dxf>
      <font>
        <i/>
        <family val="3"/>
      </font>
    </dxf>
    <dxf>
      <font>
        <i/>
        <family val="3"/>
      </font>
    </dxf>
    <dxf>
      <font>
        <i/>
        <family val="3"/>
      </font>
    </dxf>
    <dxf>
      <font>
        <i/>
        <family val="3"/>
      </font>
      <numFmt numFmtId="13" formatCode="0%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4" formatCode="0.00%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GMV</a:t>
            </a:r>
            <a:r>
              <a:rPr lang="en-US" altLang="ko-KR" baseline="0"/>
              <a:t> Variation for NI / E / 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'Net Income Calculator'!$B$1</c:f>
              <c:strCache>
                <c:ptCount val="1"/>
                <c:pt idx="0">
                  <c:v>Variables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'Net Income Calculator'!$A$3:$A$5</c:f>
              <c:strCache>
                <c:ptCount val="3"/>
                <c:pt idx="0">
                  <c:v> Revenue </c:v>
                </c:pt>
                <c:pt idx="1">
                  <c:v> Expense </c:v>
                </c:pt>
                <c:pt idx="2">
                  <c:v> Net Income </c:v>
                </c:pt>
              </c:strCache>
            </c:strRef>
          </c:cat>
          <c:val>
            <c:numRef>
              <c:f>'Net Income Calculator'!$B$3:$B$5</c:f>
              <c:numCache>
                <c:formatCode>_(* #,##0_);_(* \(#,##0\);_(* "-"_);_(@_)</c:formatCode>
                <c:ptCount val="3"/>
                <c:pt idx="0">
                  <c:v>137.37613642245762</c:v>
                </c:pt>
                <c:pt idx="1">
                  <c:v>49.724229773168425</c:v>
                </c:pt>
                <c:pt idx="2">
                  <c:v>87.651906649289202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7-4D82-9C8D-0CBCD1D3E5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70367088"/>
        <c:axId val="1070369968"/>
      </c:barChart>
      <c:catAx>
        <c:axId val="107036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0369968"/>
        <c:crosses val="autoZero"/>
        <c:auto val="1"/>
        <c:lblAlgn val="ctr"/>
        <c:lblOffset val="100"/>
        <c:noMultiLvlLbl val="0"/>
      </c:catAx>
      <c:valAx>
        <c:axId val="10703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  <a:r>
                  <a:rPr lang="en-US" altLang="ko-KR" baseline="0"/>
                  <a:t> ($M)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0367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%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'Net Income Calculator'!$B$1</c:f>
              <c:strCache>
                <c:ptCount val="1"/>
                <c:pt idx="0">
                  <c:v>Variables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'Net Income Calculator'!$A$6:$A$10</c:f>
              <c:strCache>
                <c:ptCount val="5"/>
                <c:pt idx="0">
                  <c:v>Net Income %</c:v>
                </c:pt>
                <c:pt idx="1">
                  <c:v>FE/TE</c:v>
                </c:pt>
                <c:pt idx="2">
                  <c:v>Revenue Share/TE</c:v>
                </c:pt>
                <c:pt idx="3">
                  <c:v>VE/TE</c:v>
                </c:pt>
                <c:pt idx="4">
                  <c:v>RS/TR</c:v>
                </c:pt>
              </c:strCache>
            </c:strRef>
          </c:cat>
          <c:val>
            <c:numRef>
              <c:f>'Net Income Calculator'!$B$6:$B$10</c:f>
              <c:numCache>
                <c:formatCode>0%</c:formatCode>
                <c:ptCount val="5"/>
                <c:pt idx="0">
                  <c:v>0.63804317789039433</c:v>
                </c:pt>
                <c:pt idx="1">
                  <c:v>9.3120015016642618E-2</c:v>
                </c:pt>
                <c:pt idx="2">
                  <c:v>0.92123600516895432</c:v>
                </c:pt>
                <c:pt idx="3">
                  <c:v>2.7085386865594918E-2</c:v>
                </c:pt>
                <c:pt idx="4">
                  <c:v>0.33344765684390304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8-478A-8359-8205BA2E6B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0784176"/>
        <c:axId val="1050779856"/>
      </c:barChart>
      <c:catAx>
        <c:axId val="105078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0779856"/>
        <c:crosses val="autoZero"/>
        <c:auto val="1"/>
        <c:lblAlgn val="ctr"/>
        <c:lblOffset val="100"/>
        <c:noMultiLvlLbl val="0"/>
      </c:catAx>
      <c:valAx>
        <c:axId val="105077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0784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Payrolls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'Net Income Calculator'!$B$1</c:f>
              <c:strCache>
                <c:ptCount val="1"/>
                <c:pt idx="0">
                  <c:v>Variables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'Net Income Calculator'!$A$13:$A$14</c:f>
              <c:strCache>
                <c:ptCount val="2"/>
                <c:pt idx="0">
                  <c:v>Initial Payrolls-C Level</c:v>
                </c:pt>
                <c:pt idx="1">
                  <c:v>Payrolls-Employee</c:v>
                </c:pt>
              </c:strCache>
            </c:strRef>
          </c:cat>
          <c:val>
            <c:numRef>
              <c:f>'Net Income Calculator'!$B$13:$B$14</c:f>
              <c:numCache>
                <c:formatCode>_(* #,##0_);_(* \(#,##0\);_(* "-"_);_(@_)</c:formatCode>
                <c:ptCount val="2"/>
                <c:pt idx="0" formatCode="_(* #,##0.00_);_(* \(#,##0.00\);_(* &quot;-&quot;??_);_(@_)">
                  <c:v>40860.085264036017</c:v>
                </c:pt>
                <c:pt idx="1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4-4533-802D-7C3CBA89EE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2647856"/>
        <c:axId val="1072648336"/>
      </c:barChart>
      <c:catAx>
        <c:axId val="10726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2648336"/>
        <c:crosses val="autoZero"/>
        <c:auto val="1"/>
        <c:lblAlgn val="ctr"/>
        <c:lblOffset val="100"/>
        <c:noMultiLvlLbl val="0"/>
      </c:catAx>
      <c:valAx>
        <c:axId val="107264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26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Payrolls After Bonus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'Net Income Calculator'!$B$1</c:f>
              <c:strCache>
                <c:ptCount val="1"/>
                <c:pt idx="0">
                  <c:v>Variables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'Net Income Calculator'!$A$15:$A$16</c:f>
              <c:strCache>
                <c:ptCount val="2"/>
                <c:pt idx="0">
                  <c:v>Payrolls-After Bonus (C)</c:v>
                </c:pt>
                <c:pt idx="1">
                  <c:v>Payrolls-After Bonus (E)</c:v>
                </c:pt>
              </c:strCache>
            </c:strRef>
          </c:cat>
          <c:val>
            <c:numRef>
              <c:f>'Net Income Calculator'!$B$15:$B$16</c:f>
              <c:numCache>
                <c:formatCode>_(* #,##0_);_(* \(#,##0\);_(* "-"_);_(@_)</c:formatCode>
                <c:ptCount val="2"/>
                <c:pt idx="0">
                  <c:v>4423455.4177284967</c:v>
                </c:pt>
                <c:pt idx="1">
                  <c:v>657389.29986966902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3-4722-B005-DE6C242435D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6647104"/>
        <c:axId val="1046644224"/>
      </c:barChart>
      <c:catAx>
        <c:axId val="10466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644224"/>
        <c:crosses val="autoZero"/>
        <c:auto val="1"/>
        <c:lblAlgn val="ctr"/>
        <c:lblOffset val="100"/>
        <c:noMultiLvlLbl val="0"/>
      </c:catAx>
      <c:valAx>
        <c:axId val="10466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46647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139700</xdr:rowOff>
    </xdr:from>
    <xdr:to>
      <xdr:col>12</xdr:col>
      <xdr:colOff>34925</xdr:colOff>
      <xdr:row>18</xdr:row>
      <xdr:rowOff>139700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CFA4FB4-E42E-73A3-EE9F-4ED706EF2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190954</xdr:colOff>
      <xdr:row>0</xdr:row>
      <xdr:rowOff>171450</xdr:rowOff>
    </xdr:from>
    <xdr:to>
      <xdr:col>19</xdr:col>
      <xdr:colOff>140154</xdr:colOff>
      <xdr:row>13</xdr:row>
      <xdr:rowOff>107950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56CB321-060F-9B78-1CA5-8A571BAB1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240392</xdr:colOff>
      <xdr:row>20</xdr:row>
      <xdr:rowOff>34471</xdr:rowOff>
    </xdr:from>
    <xdr:to>
      <xdr:col>11</xdr:col>
      <xdr:colOff>176892</xdr:colOff>
      <xdr:row>32</xdr:row>
      <xdr:rowOff>165100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7F20EA0-3A29-5DA2-BD63-5A54AE2A5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176892</xdr:colOff>
      <xdr:row>19</xdr:row>
      <xdr:rowOff>206829</xdr:rowOff>
    </xdr:from>
    <xdr:to>
      <xdr:col>19</xdr:col>
      <xdr:colOff>113392</xdr:colOff>
      <xdr:row>32</xdr:row>
      <xdr:rowOff>119743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7CE3F5F-9C58-0D78-7985-A1AD9BFEC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72C7C-8A2E-4FA4-8428-A326C25A2C68}" name="표1" displayName="표1" ref="A1:F6" totalsRowShown="0">
  <autoFilter ref="A1:F6" xr:uid="{8BA72C7C-8A2E-4FA4-8428-A326C25A2C68}"/>
  <tableColumns count="6">
    <tableColumn id="1" xr3:uid="{6C569380-0F2A-40D2-9A68-A5DFACE533AF}" name="Fee Tier"/>
    <tableColumn id="2" xr3:uid="{FB9B055C-6C71-437D-875A-5A94D3720E1D}" name="Trading Fee Rate" dataDxfId="46" dataCellStyle="백분율"/>
    <tableColumn id="3" xr3:uid="{1C724542-89B1-4216-AE2C-090638BF773B}" name="Fee Tier Distribution" dataDxfId="45"/>
    <tableColumn id="4" xr3:uid="{C3671F42-C5A5-4EE1-8DAE-47F2958855A2}" name="Blended Fee Rate" dataDxfId="44"/>
    <tableColumn id="5" xr3:uid="{8C5D335A-F85C-450E-9753-0463744C3566}" name="Partner Indices" dataDxfId="43"/>
    <tableColumn id="6" xr3:uid="{48AEABFE-662D-4D2C-A84A-FFD04F2A1B92}" name="Partner Routing" dataDxfId="4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51FE6-9FDE-42D3-A8AE-19ED3930EAE4}" name="표2" displayName="표2" ref="A7:F9" totalsRowShown="0">
  <autoFilter ref="A7:F9" xr:uid="{21551FE6-9FDE-42D3-A8AE-19ED3930EAE4}"/>
  <tableColumns count="6">
    <tableColumn id="1" xr3:uid="{AADAA6CC-BB65-46EB-9178-926ED76235EC}" name="Categories"/>
    <tableColumn id="2" xr3:uid="{90473DE7-9390-4509-B4CA-6A3BC3D2E3B1}" name="L1" dataDxfId="41"/>
    <tableColumn id="3" xr3:uid="{04C22CD6-1E7D-46EB-B41B-4A9BDEA602C6}" name="L2" dataDxfId="40"/>
    <tableColumn id="4" xr3:uid="{5F4188BE-195C-4C04-90BC-6AED238AFDA2}" name="L3" dataDxfId="39"/>
    <tableColumn id="5" xr3:uid="{4EECC140-4221-45EB-99C2-4C9F890C23A8}" name="VS Theme" dataDxfId="38"/>
    <tableColumn id="6" xr3:uid="{42A8DC7C-8AB9-4D28-8881-49A67210BE24}" name="Partner Indices" dataDxfId="3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11922-128A-4EC6-B973-1097F1EACF79}" name="표3" displayName="표3" ref="A19:E20" totalsRowShown="0" dataDxfId="36" dataCellStyle="백분율">
  <autoFilter ref="A19:E20" xr:uid="{D9D11922-128A-4EC6-B973-1097F1EACF79}"/>
  <tableColumns count="5">
    <tableColumn id="1" xr3:uid="{BFEFF985-BF99-4DC9-AD96-EA4DBBAEF0B4}" name="Categories"/>
    <tableColumn id="2" xr3:uid="{015A8A7C-9DCF-4244-904B-42F8FDFD2C07}" name="L1" dataDxfId="35" dataCellStyle="백분율">
      <calculatedColumnFormula>20%</calculatedColumnFormula>
    </tableColumn>
    <tableColumn id="3" xr3:uid="{B439872F-C898-4381-9088-67F3372FFEE6}" name="L2 &amp; VS" dataDxfId="34" dataCellStyle="백분율"/>
    <tableColumn id="4" xr3:uid="{571C47B9-1AD7-4D7A-A1A7-FD41FAAF4588}" name="Bonding Curve" dataDxfId="33" dataCellStyle="백분율"/>
    <tableColumn id="5" xr3:uid="{B5DD529E-94F9-4FAB-BD00-90D896FC4D02}" name="Partner Indices" dataDxfId="32" dataCellStyle="백분율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E32DC4-E39F-49A7-A607-84C50316BAC6}" name="표4" displayName="표4" ref="A10:F16" totalsRowShown="0" headerRowDxfId="31" dataDxfId="30">
  <autoFilter ref="A10:F16" xr:uid="{41E32DC4-E39F-49A7-A607-84C50316BAC6}"/>
  <tableColumns count="6">
    <tableColumn id="1" xr3:uid="{87C1F930-0BF2-4471-8DB7-3E70B4CB80D0}" name="Categories" dataDxfId="29"/>
    <tableColumn id="2" xr3:uid="{E342AB38-23D0-43B4-8528-25DF2C4D9BB0}" name="L1" dataDxfId="28"/>
    <tableColumn id="3" xr3:uid="{2AF2F69A-E06A-4F08-B575-566F9651F0B2}" name="L2" dataDxfId="27"/>
    <tableColumn id="4" xr3:uid="{C9EE3D01-79F9-4BF1-BF67-2A6735B494B9}" name="L3" dataDxfId="26"/>
    <tableColumn id="5" xr3:uid="{F3E668CC-332F-4AC5-B6F1-BFFB406808D0}" name="VS Theme" dataDxfId="25"/>
    <tableColumn id="6" xr3:uid="{20F5FDA0-4EE4-40CF-AC23-7D237257CF11}" name="Partner Indices" dataDxfId="24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8FB5FE-C827-4D9A-B763-D45A2BEB0324}" name="표6" displayName="표6" ref="A21:F22" totalsRowShown="0" dataDxfId="23" dataCellStyle="쉼표 [0]">
  <autoFilter ref="A21:F22" xr:uid="{E68FB5FE-C827-4D9A-B763-D45A2BEB0324}"/>
  <tableColumns count="6">
    <tableColumn id="1" xr3:uid="{0E290459-67AE-45C7-BD36-BA7E12BA7731}" name="Categories" dataDxfId="22" dataCellStyle="쉼표 [0]"/>
    <tableColumn id="2" xr3:uid="{6643F2C7-3793-4C7C-9228-958ECE5D2A48}" name="HOOATS - Orderbook Internal" dataDxfId="21" dataCellStyle="쉼표 [0]">
      <calculatedColumnFormula>K20*65%</calculatedColumnFormula>
    </tableColumn>
    <tableColumn id="3" xr3:uid="{8A3B3BAB-284D-46DF-8AA2-8E03712A6DCE}" name="HOOATS - AMM Internal" dataDxfId="20" dataCellStyle="쉼표 [0]">
      <calculatedColumnFormula>K20*35%</calculatedColumnFormula>
    </tableColumn>
    <tableColumn id="4" xr3:uid="{FE084EE1-AD7C-448B-866D-14DE89BFE37E}" name="Bonding Curve Internal" dataDxfId="19" dataCellStyle="쉼표 [0]">
      <calculatedColumnFormula>K21</calculatedColumnFormula>
    </tableColumn>
    <tableColumn id="5" xr3:uid="{00EF1D28-ACC7-4C43-8E82-2F37A2F813A3}" name="Partner Routing" dataDxfId="18" dataCellStyle="쉼표 [0]">
      <calculatedColumnFormula>K22</calculatedColumnFormula>
    </tableColumn>
    <tableColumn id="6" xr3:uid="{94522ED3-DA59-472F-B780-2FBB4DD1CCFB}" name="Partner Indices" dataDxfId="17" dataCellStyle="쉼표 [0]">
      <calculatedColumnFormula>K23</calculatedColumnFormula>
    </tableColumn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A87989-B94B-438E-965F-07CC2D8C0D82}" name="표7" displayName="표7" ref="G1:H5" totalsRowShown="0">
  <autoFilter ref="G1:H5" xr:uid="{58A87989-B94B-438E-965F-07CC2D8C0D82}"/>
  <tableColumns count="2">
    <tableColumn id="1" xr3:uid="{08211360-EC62-4AA8-83CC-F723B8AA1082}" name="GMV (Trading Volume)"/>
    <tableColumn id="2" xr3:uid="{BE927124-9932-4941-AC15-23C45E2665F5}" name="R" dataDxfId="16" dataCellStyle="백분율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D4FE971-E677-43B9-8C6B-D69D37296C8C}" name="표10" displayName="표10" ref="A26:E49" totalsRowShown="0">
  <autoFilter ref="A26:E49" xr:uid="{8D4FE971-E677-43B9-8C6B-D69D37296C8C}"/>
  <tableColumns count="5">
    <tableColumn id="1" xr3:uid="{44349786-2400-4F98-9E23-7B52869D0CF7}" name="Category" dataDxfId="15"/>
    <tableColumn id="2" xr3:uid="{6E6B7759-BF16-4A5F-B9E9-3266EDD57D08}" name="Sub-Category"/>
    <tableColumn id="3" xr3:uid="{CE9B3F54-4065-4638-B019-E19D799559E0}" name="Amount (M)"/>
    <tableColumn id="4" xr3:uid="{2FDBCED9-2F96-4BCC-ABBA-8BDAB0A55B34}" name="Percentage Per Category"/>
    <tableColumn id="5" xr3:uid="{1C81CBE4-16AA-4AB3-9233-058774056304}" name="Percentage Per Total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7115DE-4D0B-450D-B1E8-5630FCADF1C6}" name="표8" displayName="표8" ref="J1:O7" totalsRowShown="0" headerRowDxfId="14" headerRowCellStyle="백분율">
  <autoFilter ref="J1:O7" xr:uid="{677115DE-4D0B-450D-B1E8-5630FCADF1C6}"/>
  <tableColumns count="6">
    <tableColumn id="1" xr3:uid="{4C23ECCB-2F6A-4F05-8324-3C15B19744C1}" name="Turnover Factor" dataDxfId="13" dataCellStyle="백분율"/>
    <tableColumn id="2" xr3:uid="{49F79E89-B77C-4F16-BDDF-B0FBD10ED85A}" name="L1" dataDxfId="12" dataCellStyle="백분율"/>
    <tableColumn id="3" xr3:uid="{2A958EB3-8B27-43D5-B1E8-2B975B0F92FD}" name="L2" dataDxfId="11" dataCellStyle="백분율"/>
    <tableColumn id="4" xr3:uid="{AA47153B-F5C5-4F89-88B3-558F576E9375}" name="Vs"/>
    <tableColumn id="5" xr3:uid="{ED0C95F7-949A-4BEC-B6A8-2EBB16F26C74}" name="Partner"/>
    <tableColumn id="6" xr3:uid="{C19B23BD-969C-4907-9D31-CA16B77BC6BA}" name="L3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DBF5D3-118F-4541-9B0D-5AE02CE5768B}" name="표9" displayName="표9" ref="J9:L14" totalsRowShown="0">
  <autoFilter ref="J9:L14" xr:uid="{39DBF5D3-118F-4541-9B0D-5AE02CE5768B}"/>
  <tableColumns count="3">
    <tableColumn id="1" xr3:uid="{839B2C51-24F8-451E-BE07-B4C32FCED7D3}" name="Type"/>
    <tableColumn id="2" xr3:uid="{5CA937AD-1749-44AD-9F6D-429FDB1D5C56}" name="Internal Volume (B)"/>
    <tableColumn id="3" xr3:uid="{BC08B7F1-9F62-44D0-89C9-F00AC3E14523}" name="Routing Volume (B)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4881C1-5ED7-414D-AE0B-B8D0189C98E4}" name="표13" displayName="표13" ref="J19:K23" totalsRowShown="0">
  <autoFilter ref="J19:K23" xr:uid="{764881C1-5ED7-414D-AE0B-B8D0189C98E4}"/>
  <tableColumns count="2">
    <tableColumn id="1" xr3:uid="{2C4EF26D-2346-4B28-9741-9E84FE3E2DC9}" name="Categories"/>
    <tableColumn id="2" xr3:uid="{16996EBF-F28F-4A95-9D70-073ED0DD1B4C}" name="Volume (B)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7E0D40-D70D-4EBD-919E-2AE22934F96F}" name="표12" displayName="표12" ref="J16:K17" totalsRowShown="0">
  <autoFilter ref="J16:K17" xr:uid="{907E0D40-D70D-4EBD-919E-2AE22934F96F}"/>
  <tableColumns count="2">
    <tableColumn id="1" xr3:uid="{074A5032-BE61-474C-B6BE-1773AC4F9211}" name="Type"/>
    <tableColumn id="2" xr3:uid="{EE6041A7-6483-498D-97D9-F2A71977CC8D}" name="Volume(B)" dataDxfId="10">
      <calculatedColumnFormula>F14</calculatedColumnFormula>
    </tableColumn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2EF462-046F-4C6F-A64F-6FEB98AD8B89}" name="표1_12" displayName="표1_12" ref="A1:C6" totalsRowShown="0">
  <autoFilter ref="A1:C6" xr:uid="{952EF462-046F-4C6F-A64F-6FEB98AD8B89}"/>
  <tableColumns count="3">
    <tableColumn id="1" xr3:uid="{9B1B4587-0683-4C9B-9E17-6E54DE2D0E5D}" name="Referral Tier"/>
    <tableColumn id="2" xr3:uid="{867C0E0D-8E27-4953-89B4-528C108CB866}" name="Influencers/KOLs" dataDxfId="9" dataCellStyle="백분율"/>
    <tableColumn id="3" xr3:uid="{BD44E55C-C585-4C03-A2F9-0BFD57AB56CF}" name="Individuals" dataDxfId="8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88E7F0C-EC07-46C7-A3C3-6A439D08C891}" name="표10_19" displayName="표10_19" ref="A30:E65" totalsRowShown="0">
  <autoFilter ref="A30:E65" xr:uid="{488E7F0C-EC07-46C7-A3C3-6A439D08C891}"/>
  <tableColumns count="5">
    <tableColumn id="1" xr3:uid="{4A4A3F85-B16B-4BDF-BF21-D5C08FB66482}" name="Category" dataDxfId="7"/>
    <tableColumn id="2" xr3:uid="{EA32024C-BEF2-4092-9738-DED7CCA5AA71}" name="Sub-Category"/>
    <tableColumn id="3" xr3:uid="{ADBA23F2-C1D7-4695-81BF-0F2DD68CB244}" name="Amount (M)"/>
    <tableColumn id="4" xr3:uid="{1DD980BD-C0BA-4F03-A62E-49CD4E27B0C9}" name="Percentage Per Category"/>
    <tableColumn id="5" xr3:uid="{F64F87B2-798A-43E4-B3C4-186679FCDA19}" name="Percentage Per Total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BEF66B-E79C-46C3-8182-DE543C05871C}" name="표19" displayName="표19" ref="A8:C16" totalsRowShown="0">
  <autoFilter ref="A8:C16" xr:uid="{2EBEF66B-E79C-46C3-8182-DE543C05871C}"/>
  <tableColumns count="3">
    <tableColumn id="1" xr3:uid="{45846490-BE09-42A1-BB8F-1C19B0667CA4}" name="Referral Tier"/>
    <tableColumn id="2" xr3:uid="{97792C57-CD76-4351-B195-2F492EE1766C}" name="Influencers/KOLs %" dataDxfId="6"/>
    <tableColumn id="3" xr3:uid="{4BFB203A-CB4D-4FE4-9AF6-FB4A65CF8571}" name="Individuals %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993285A-59ED-4B86-81AA-D08E6A6085F4}" name="표20" displayName="표20" ref="E1:F2" totalsRowShown="0">
  <autoFilter ref="E1:F2" xr:uid="{7993285A-59ED-4B86-81AA-D08E6A6085F4}"/>
  <tableColumns count="2">
    <tableColumn id="1" xr3:uid="{A4676720-5821-4D2C-BB91-86A32072C9BC}" name="Categories"/>
    <tableColumn id="2" xr3:uid="{7532D5AB-52ED-40C4-87A5-86EE956C772C}" name="% of Users" dataDxfId="5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978D38C-0E4D-4D93-9D46-9D369A30D31C}" name="표21" displayName="표21" ref="A18:C22" totalsRowShown="0">
  <autoFilter ref="A18:C22" xr:uid="{5978D38C-0E4D-4D93-9D46-9D369A30D31C}"/>
  <tableColumns count="3">
    <tableColumn id="1" xr3:uid="{C67B0B66-1E66-4C1D-973C-86840CEA38E5}" name="DEX Tiers"/>
    <tableColumn id="2" xr3:uid="{8A47B881-B85C-41FC-BA4A-E2BF432C6E33}" name="Partner DEX Revenue Share" dataDxfId="4"/>
    <tableColumn id="3" xr3:uid="{D1E06C18-A2C1-4541-985D-955A5095A87A}" name="Percentage" dataDxfId="3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A931DF9-BAA5-4FDD-B465-0E563BE532C5}" name="표22" displayName="표22" ref="A24:D28" totalsRowShown="0">
  <autoFilter ref="A24:D28" xr:uid="{DA931DF9-BAA5-4FDD-B465-0E563BE532C5}"/>
  <tableColumns count="4">
    <tableColumn id="1" xr3:uid="{0C58A29D-93CA-4B42-ACE5-1B07FF72EF02}" name="Single Event - Promoter Tier"/>
    <tableColumn id="2" xr3:uid="{EE978AAB-081B-4165-A711-1915FAE28AFF}" name="Influencers/KOLs(+Streamers) Performance Bonus" dataDxfId="2"/>
    <tableColumn id="3" xr3:uid="{16A8438D-A70B-4505-AF78-C76908D16F70}" name="Fixed Payment (K) If they gets Fixed Payments, their Tier gets down"/>
    <tableColumn id="4" xr3:uid="{F111CB32-3A1B-4FDB-8BA9-BC41A302C18F}" name="%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DCD329-CDE1-4443-A3B5-EA24BFBAF0FB}" name="표5" displayName="표5" ref="A1:B16" totalsRowShown="0">
  <autoFilter ref="A1:B16" xr:uid="{A7DCD329-CDE1-4443-A3B5-EA24BFBAF0FB}"/>
  <tableColumns count="2">
    <tableColumn id="1" xr3:uid="{5E9EBD69-7090-4211-AFFE-E7042889480A}" name="Categories" dataDxfId="1" dataCellStyle="백분율"/>
    <tableColumn id="2" xr3:uid="{DB448897-CCA3-45CD-9706-D74C9004396C}" name="Variables" dataDxfId="0" dataCellStyle="백분율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갤러리">
  <a:themeElements>
    <a:clrScheme name="갤러리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갤러리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갤러리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8FA6-342C-4FE8-BF51-88228D509AFA}">
  <dimension ref="A1:S49"/>
  <sheetViews>
    <sheetView topLeftCell="A18" zoomScale="52" workbookViewId="0">
      <selection activeCell="C49" sqref="C49"/>
    </sheetView>
  </sheetViews>
  <sheetFormatPr defaultRowHeight="17" x14ac:dyDescent="0.45"/>
  <cols>
    <col min="1" max="1" width="25.4140625" bestFit="1" customWidth="1"/>
    <col min="2" max="2" width="32" bestFit="1" customWidth="1"/>
    <col min="3" max="3" width="26.9140625" bestFit="1" customWidth="1"/>
    <col min="4" max="4" width="19.1640625" customWidth="1"/>
    <col min="5" max="5" width="18.58203125" customWidth="1"/>
    <col min="6" max="6" width="18.1640625" bestFit="1" customWidth="1"/>
    <col min="7" max="7" width="32" bestFit="1" customWidth="1"/>
    <col min="8" max="8" width="8.08203125" bestFit="1" customWidth="1"/>
    <col min="9" max="9" width="12.33203125" bestFit="1" customWidth="1"/>
    <col min="10" max="10" width="22.58203125" bestFit="1" customWidth="1"/>
    <col min="11" max="11" width="23.1640625" bestFit="1" customWidth="1"/>
    <col min="12" max="12" width="23.33203125" bestFit="1" customWidth="1"/>
    <col min="13" max="13" width="20.1640625" bestFit="1" customWidth="1"/>
    <col min="14" max="14" width="14.9140625" bestFit="1" customWidth="1"/>
    <col min="15" max="15" width="12.83203125" bestFit="1" customWidth="1"/>
  </cols>
  <sheetData>
    <row r="1" spans="1:19" x14ac:dyDescent="0.45">
      <c r="A1" t="s">
        <v>24</v>
      </c>
      <c r="B1" t="s">
        <v>109</v>
      </c>
      <c r="C1" t="s">
        <v>110</v>
      </c>
      <c r="D1" s="2" t="s">
        <v>135</v>
      </c>
      <c r="E1" t="s">
        <v>10</v>
      </c>
      <c r="F1" s="2" t="s">
        <v>1</v>
      </c>
      <c r="G1" t="s">
        <v>111</v>
      </c>
      <c r="H1" t="s">
        <v>101</v>
      </c>
      <c r="J1" t="s">
        <v>116</v>
      </c>
      <c r="K1" t="s">
        <v>8</v>
      </c>
      <c r="L1" t="s">
        <v>9</v>
      </c>
      <c r="M1" s="4" t="s">
        <v>102</v>
      </c>
      <c r="N1" s="4" t="s">
        <v>15</v>
      </c>
      <c r="O1" s="4" t="s">
        <v>16</v>
      </c>
      <c r="P1" s="4"/>
      <c r="Q1" s="5"/>
      <c r="R1" s="5"/>
      <c r="S1" s="5"/>
    </row>
    <row r="2" spans="1:19" x14ac:dyDescent="0.45">
      <c r="A2" t="s">
        <v>19</v>
      </c>
      <c r="B2" s="5">
        <v>6.0000000000000001E-3</v>
      </c>
      <c r="C2" s="6">
        <v>0.2</v>
      </c>
      <c r="D2" s="7">
        <f>B2*C2+B3*C3+B4*C4+B5*C5+B6*C6</f>
        <v>4.4749999999999998E-3</v>
      </c>
      <c r="E2" s="5">
        <v>5.0000000000000001E-3</v>
      </c>
      <c r="F2" s="5">
        <v>5.0000000000000001E-3</v>
      </c>
      <c r="G2">
        <f>'Net Income Calculator'!B2</f>
        <v>20</v>
      </c>
      <c r="J2" t="s">
        <v>101</v>
      </c>
      <c r="K2">
        <v>12</v>
      </c>
      <c r="L2">
        <v>26</v>
      </c>
      <c r="M2">
        <v>26</v>
      </c>
      <c r="N2">
        <v>365</v>
      </c>
      <c r="O2">
        <v>0</v>
      </c>
    </row>
    <row r="3" spans="1:19" x14ac:dyDescent="0.45">
      <c r="A3" t="s">
        <v>20</v>
      </c>
      <c r="B3" s="5">
        <v>5.0000000000000001E-3</v>
      </c>
      <c r="C3" s="6">
        <v>0.25</v>
      </c>
      <c r="D3" s="8"/>
      <c r="E3" s="8"/>
      <c r="F3" s="8"/>
      <c r="H3" s="2"/>
      <c r="J3" s="2" t="s">
        <v>103</v>
      </c>
      <c r="K3" s="2">
        <v>0.1</v>
      </c>
      <c r="L3" s="2">
        <v>0.1</v>
      </c>
      <c r="M3" s="3">
        <v>0.95</v>
      </c>
      <c r="N3" s="3">
        <v>0.2</v>
      </c>
      <c r="O3" s="2">
        <v>0</v>
      </c>
    </row>
    <row r="4" spans="1:19" x14ac:dyDescent="0.45">
      <c r="A4" t="s">
        <v>21</v>
      </c>
      <c r="B4" s="5">
        <v>4.0000000000000001E-3</v>
      </c>
      <c r="C4" s="6">
        <v>0.3</v>
      </c>
      <c r="D4" s="8"/>
      <c r="E4" s="8"/>
      <c r="F4" s="8"/>
      <c r="G4" t="s">
        <v>13</v>
      </c>
      <c r="H4" s="2"/>
      <c r="J4" s="2" t="s">
        <v>122</v>
      </c>
      <c r="K4" s="2">
        <v>0.7</v>
      </c>
      <c r="L4" s="2">
        <v>0.6</v>
      </c>
      <c r="M4" s="3">
        <v>0.8</v>
      </c>
      <c r="N4" s="3">
        <v>0.3</v>
      </c>
      <c r="O4">
        <v>0</v>
      </c>
    </row>
    <row r="5" spans="1:19" x14ac:dyDescent="0.45">
      <c r="A5" t="s">
        <v>22</v>
      </c>
      <c r="B5" s="5">
        <v>3.5000000000000001E-3</v>
      </c>
      <c r="C5" s="6">
        <v>0.15</v>
      </c>
      <c r="D5" s="8"/>
      <c r="E5" s="8"/>
      <c r="F5" s="8"/>
      <c r="G5">
        <f>G2*0.25</f>
        <v>5</v>
      </c>
      <c r="H5" s="2"/>
      <c r="J5" s="2" t="s">
        <v>104</v>
      </c>
      <c r="K5" s="2" t="s">
        <v>105</v>
      </c>
      <c r="L5" s="2" t="s">
        <v>105</v>
      </c>
      <c r="M5" t="s">
        <v>105</v>
      </c>
      <c r="N5" s="2" t="s">
        <v>105</v>
      </c>
      <c r="O5">
        <v>2</v>
      </c>
    </row>
    <row r="6" spans="1:19" x14ac:dyDescent="0.45">
      <c r="A6" t="s">
        <v>23</v>
      </c>
      <c r="B6" s="5">
        <v>3.0000000000000001E-3</v>
      </c>
      <c r="C6" s="6">
        <v>0.1</v>
      </c>
      <c r="D6" s="8"/>
      <c r="E6" s="8"/>
      <c r="F6" s="8"/>
      <c r="J6" s="2" t="s">
        <v>106</v>
      </c>
      <c r="K6" s="47">
        <f>B12*K4/(K3*K2)</f>
        <v>1.020833333333333</v>
      </c>
      <c r="L6" s="47">
        <f>C12*L4/(L3*L2)</f>
        <v>0.40384615384615385</v>
      </c>
      <c r="M6" s="47">
        <f>M4*E12/(M3*M2)</f>
        <v>4.8582995951417011E-2</v>
      </c>
      <c r="N6" s="47">
        <f>N4*(F14+F14*N4)/(N3*N2)</f>
        <v>1.6027397260273971E-2</v>
      </c>
      <c r="O6">
        <f>D14*O5/365</f>
        <v>3.287671232876712E-2</v>
      </c>
    </row>
    <row r="7" spans="1:19" x14ac:dyDescent="0.45">
      <c r="A7" t="s">
        <v>26</v>
      </c>
      <c r="B7" t="s">
        <v>8</v>
      </c>
      <c r="C7" t="s">
        <v>9</v>
      </c>
      <c r="D7" t="s">
        <v>16</v>
      </c>
      <c r="E7" t="s">
        <v>11</v>
      </c>
      <c r="F7" t="s">
        <v>10</v>
      </c>
      <c r="J7" s="52" t="s">
        <v>107</v>
      </c>
      <c r="K7" s="51">
        <f>B12/K6</f>
        <v>1.7142857142857149</v>
      </c>
      <c r="L7" s="51">
        <f>C12/L6</f>
        <v>4.333333333333333</v>
      </c>
      <c r="M7" s="51">
        <f>E12/M6</f>
        <v>30.874999999999996</v>
      </c>
      <c r="N7" s="51">
        <f>F14/N6</f>
        <v>187.17948717948718</v>
      </c>
      <c r="O7" s="51">
        <f>D14/O6</f>
        <v>182.50000000000003</v>
      </c>
    </row>
    <row r="8" spans="1:19" x14ac:dyDescent="0.45">
      <c r="A8" t="s">
        <v>0</v>
      </c>
      <c r="B8" s="2">
        <f>0.1%</f>
        <v>1E-3</v>
      </c>
      <c r="C8" s="9">
        <v>1E-3</v>
      </c>
      <c r="D8" s="10" t="s">
        <v>27</v>
      </c>
      <c r="E8" s="9">
        <v>1E-3</v>
      </c>
      <c r="F8" s="9">
        <v>0.02</v>
      </c>
    </row>
    <row r="9" spans="1:19" x14ac:dyDescent="0.45">
      <c r="A9" t="s">
        <v>25</v>
      </c>
      <c r="B9" s="2">
        <v>7.0000000000000001E-3</v>
      </c>
      <c r="C9" s="2">
        <v>8.5000000000000006E-3</v>
      </c>
      <c r="D9" s="2">
        <v>0.01</v>
      </c>
      <c r="E9" s="2">
        <v>0.01</v>
      </c>
      <c r="F9" s="2">
        <v>5.0000000000000001E-3</v>
      </c>
      <c r="J9" t="s">
        <v>118</v>
      </c>
      <c r="K9" t="s">
        <v>125</v>
      </c>
      <c r="L9" t="s">
        <v>126</v>
      </c>
    </row>
    <row r="10" spans="1:19" x14ac:dyDescent="0.45">
      <c r="A10" s="12" t="s">
        <v>26</v>
      </c>
      <c r="B10" s="12" t="s">
        <v>8</v>
      </c>
      <c r="C10" s="12" t="s">
        <v>9</v>
      </c>
      <c r="D10" s="12" t="s">
        <v>16</v>
      </c>
      <c r="E10" s="12" t="s">
        <v>11</v>
      </c>
      <c r="F10" s="12" t="s">
        <v>10</v>
      </c>
      <c r="J10" t="s">
        <v>112</v>
      </c>
      <c r="K10">
        <f>G2*B13*3/4</f>
        <v>3</v>
      </c>
      <c r="L10">
        <f>B14-표9[[#This Row],[Internal Volume (B)]]</f>
        <v>1</v>
      </c>
    </row>
    <row r="11" spans="1:19" x14ac:dyDescent="0.45">
      <c r="A11" s="12" t="s">
        <v>99</v>
      </c>
      <c r="B11" s="14">
        <v>0.35</v>
      </c>
      <c r="C11" s="14">
        <v>0.35</v>
      </c>
      <c r="D11" s="15">
        <v>0</v>
      </c>
      <c r="E11" s="15">
        <v>0.3</v>
      </c>
      <c r="F11" s="15">
        <v>0</v>
      </c>
      <c r="J11" t="s">
        <v>113</v>
      </c>
      <c r="K11">
        <f>G2*C13*(17/25)</f>
        <v>3.4000000000000004</v>
      </c>
      <c r="L11">
        <f>C14-표9[[#This Row],[Internal Volume (B)]]</f>
        <v>1.5999999999999996</v>
      </c>
    </row>
    <row r="12" spans="1:19" x14ac:dyDescent="0.45">
      <c r="A12" s="12" t="s">
        <v>100</v>
      </c>
      <c r="B12" s="21">
        <f>B11*G5</f>
        <v>1.75</v>
      </c>
      <c r="C12" s="21">
        <f>G5*C11</f>
        <v>1.75</v>
      </c>
      <c r="D12" s="21">
        <v>0</v>
      </c>
      <c r="E12" s="21">
        <f>E11*G5</f>
        <v>1.5</v>
      </c>
      <c r="F12" s="21">
        <v>0</v>
      </c>
      <c r="J12" t="s">
        <v>114</v>
      </c>
      <c r="K12">
        <f>G2*D13*(14/30)</f>
        <v>2.8</v>
      </c>
      <c r="L12">
        <f>D14-표9[[#This Row],[Internal Volume (B)]]</f>
        <v>3.2</v>
      </c>
      <c r="M12" s="48"/>
      <c r="N12" s="48"/>
      <c r="O12" s="48"/>
    </row>
    <row r="13" spans="1:19" x14ac:dyDescent="0.45">
      <c r="A13" s="12" t="s">
        <v>124</v>
      </c>
      <c r="B13" s="15">
        <v>0.2</v>
      </c>
      <c r="C13" s="15">
        <v>0.25</v>
      </c>
      <c r="D13" s="14">
        <v>0.3</v>
      </c>
      <c r="E13" s="15">
        <v>0.1</v>
      </c>
      <c r="F13" s="14">
        <v>0.15</v>
      </c>
      <c r="J13" t="s">
        <v>11</v>
      </c>
      <c r="K13">
        <f>G2*표4[[#This Row],[VS Theme]]*(8/10)</f>
        <v>1.6</v>
      </c>
      <c r="L13">
        <f>E14-표9[[#This Row],[Internal Volume (B)]]</f>
        <v>0.39999999999999991</v>
      </c>
      <c r="M13" s="46"/>
      <c r="N13" s="46"/>
      <c r="O13" s="46"/>
      <c r="P13" s="48"/>
    </row>
    <row r="14" spans="1:19" x14ac:dyDescent="0.45">
      <c r="A14" s="12" t="s">
        <v>123</v>
      </c>
      <c r="B14" s="13">
        <f>G2*B13</f>
        <v>4</v>
      </c>
      <c r="C14" s="13">
        <f>G2*C13</f>
        <v>5</v>
      </c>
      <c r="D14" s="13">
        <f>G2*D13</f>
        <v>6</v>
      </c>
      <c r="E14" s="13">
        <f>G2*E13</f>
        <v>2</v>
      </c>
      <c r="F14" s="13">
        <f>G2*F13</f>
        <v>3</v>
      </c>
      <c r="I14" s="3"/>
      <c r="J14" t="s">
        <v>115</v>
      </c>
      <c r="K14">
        <f>SUM(K10:K13)</f>
        <v>10.799999999999999</v>
      </c>
      <c r="L14">
        <f>SUM(L10:L13)</f>
        <v>6.1999999999999993</v>
      </c>
      <c r="M14" s="46"/>
      <c r="N14" s="46"/>
      <c r="O14" s="46"/>
      <c r="P14" s="46"/>
    </row>
    <row r="15" spans="1:19" x14ac:dyDescent="0.45">
      <c r="A15" s="12" t="s">
        <v>29</v>
      </c>
      <c r="B15" s="15">
        <f>K7</f>
        <v>1.7142857142857149</v>
      </c>
      <c r="C15" s="15">
        <f>L7</f>
        <v>4.333333333333333</v>
      </c>
      <c r="D15" s="15">
        <f>O7</f>
        <v>182.50000000000003</v>
      </c>
      <c r="E15" s="15">
        <f>M7</f>
        <v>30.874999999999996</v>
      </c>
      <c r="F15" s="15">
        <f>N7</f>
        <v>187.17948717948718</v>
      </c>
      <c r="M15" s="46"/>
      <c r="N15" s="46"/>
      <c r="O15" s="46"/>
      <c r="P15" s="46"/>
    </row>
    <row r="16" spans="1:19" x14ac:dyDescent="0.45">
      <c r="A16" s="20" t="s">
        <v>39</v>
      </c>
      <c r="B16" s="21">
        <f>K6</f>
        <v>1.020833333333333</v>
      </c>
      <c r="C16" s="21">
        <f>L6</f>
        <v>0.40384615384615385</v>
      </c>
      <c r="D16" s="50">
        <f t="shared" ref="D16:F16" si="0">M6</f>
        <v>4.8582995951417011E-2</v>
      </c>
      <c r="E16" s="50">
        <f t="shared" si="0"/>
        <v>1.6027397260273971E-2</v>
      </c>
      <c r="F16" s="50">
        <f t="shared" si="0"/>
        <v>3.287671232876712E-2</v>
      </c>
      <c r="I16" s="3"/>
      <c r="J16" t="s">
        <v>118</v>
      </c>
      <c r="K16" s="49" t="s">
        <v>127</v>
      </c>
      <c r="L16" s="46"/>
      <c r="M16" s="46"/>
      <c r="N16" s="46"/>
      <c r="O16" s="46"/>
      <c r="P16" s="46"/>
    </row>
    <row r="17" spans="1:16" x14ac:dyDescent="0.45">
      <c r="A17" s="16"/>
      <c r="B17" s="16"/>
      <c r="C17" s="16"/>
      <c r="D17" s="16"/>
      <c r="E17" s="16"/>
      <c r="F17" s="16"/>
      <c r="J17" t="s">
        <v>10</v>
      </c>
      <c r="K17" s="49">
        <f>F14</f>
        <v>3</v>
      </c>
      <c r="L17" s="46"/>
      <c r="M17" s="46"/>
      <c r="N17" s="46"/>
      <c r="O17" s="46"/>
    </row>
    <row r="18" spans="1:16" x14ac:dyDescent="0.45">
      <c r="A18" s="16"/>
      <c r="B18" s="16"/>
      <c r="C18" s="16"/>
      <c r="D18" s="16"/>
      <c r="E18" s="16"/>
      <c r="F18" s="16"/>
      <c r="I18" s="3"/>
      <c r="L18" s="45"/>
      <c r="M18" s="46"/>
      <c r="N18" s="46"/>
      <c r="O18" s="46"/>
    </row>
    <row r="19" spans="1:16" x14ac:dyDescent="0.45">
      <c r="A19" t="s">
        <v>26</v>
      </c>
      <c r="B19" t="s">
        <v>8</v>
      </c>
      <c r="C19" t="s">
        <v>129</v>
      </c>
      <c r="D19" t="s">
        <v>108</v>
      </c>
      <c r="E19" t="s">
        <v>10</v>
      </c>
      <c r="J19" t="s">
        <v>26</v>
      </c>
      <c r="K19" t="s">
        <v>128</v>
      </c>
      <c r="L19" s="45"/>
      <c r="M19" s="46"/>
      <c r="N19" s="46"/>
      <c r="O19" s="46"/>
      <c r="P19" s="46"/>
    </row>
    <row r="20" spans="1:16" x14ac:dyDescent="0.45">
      <c r="A20" t="s">
        <v>28</v>
      </c>
      <c r="B20" s="5">
        <f>20%</f>
        <v>0.2</v>
      </c>
      <c r="C20" s="5">
        <v>0.35</v>
      </c>
      <c r="D20" s="5">
        <v>0.3</v>
      </c>
      <c r="E20" s="5">
        <v>0.15</v>
      </c>
      <c r="J20" s="3" t="s">
        <v>119</v>
      </c>
      <c r="K20">
        <f>SUM(K10+K13+K11)</f>
        <v>8</v>
      </c>
      <c r="L20" s="45"/>
      <c r="M20" s="46"/>
      <c r="N20" s="46"/>
      <c r="O20" s="46"/>
      <c r="P20" s="46"/>
    </row>
    <row r="21" spans="1:16" x14ac:dyDescent="0.45">
      <c r="A21" t="s">
        <v>26</v>
      </c>
      <c r="B21" t="s">
        <v>30</v>
      </c>
      <c r="C21" t="s">
        <v>31</v>
      </c>
      <c r="D21" t="s">
        <v>121</v>
      </c>
      <c r="E21" t="s">
        <v>1</v>
      </c>
      <c r="F21" s="54" t="s">
        <v>10</v>
      </c>
      <c r="J21" s="3" t="s">
        <v>120</v>
      </c>
      <c r="K21">
        <f>K12</f>
        <v>2.8</v>
      </c>
      <c r="L21" s="45"/>
      <c r="M21" s="46"/>
      <c r="N21" s="46"/>
      <c r="O21" s="46"/>
      <c r="P21" s="46"/>
    </row>
    <row r="22" spans="1:16" x14ac:dyDescent="0.45">
      <c r="A22" s="53" t="s">
        <v>40</v>
      </c>
      <c r="B22" s="53">
        <f>K20*65%</f>
        <v>5.2</v>
      </c>
      <c r="C22" s="53">
        <f>K20*35%</f>
        <v>2.8</v>
      </c>
      <c r="D22" s="53">
        <f>K21</f>
        <v>2.8</v>
      </c>
      <c r="E22" s="53">
        <f>K22</f>
        <v>6.1999999999999993</v>
      </c>
      <c r="F22" s="53">
        <f>K23</f>
        <v>3</v>
      </c>
      <c r="J22" t="s">
        <v>117</v>
      </c>
      <c r="K22">
        <f>SUM(L10:L13)</f>
        <v>6.1999999999999993</v>
      </c>
      <c r="L22" s="45"/>
      <c r="M22" s="46"/>
      <c r="N22" s="46"/>
      <c r="O22" s="46"/>
      <c r="P22" s="46"/>
    </row>
    <row r="23" spans="1:16" x14ac:dyDescent="0.45">
      <c r="J23" t="s">
        <v>10</v>
      </c>
      <c r="K23" cm="1">
        <f t="array" ref="K23">표12[Volume(B)]</f>
        <v>3</v>
      </c>
      <c r="L23" s="45"/>
      <c r="M23" s="46"/>
      <c r="N23" s="46"/>
      <c r="O23" s="46"/>
      <c r="P23" s="46"/>
    </row>
    <row r="24" spans="1:16" x14ac:dyDescent="0.45">
      <c r="L24" s="45"/>
      <c r="M24" s="46"/>
      <c r="N24" s="46"/>
      <c r="O24" s="46"/>
      <c r="P24" s="46"/>
    </row>
    <row r="25" spans="1:16" x14ac:dyDescent="0.45">
      <c r="L25" s="45"/>
      <c r="M25" s="46"/>
      <c r="N25" s="46"/>
      <c r="O25" s="46"/>
      <c r="P25" s="46"/>
    </row>
    <row r="26" spans="1:16" x14ac:dyDescent="0.45">
      <c r="A26" t="s">
        <v>4</v>
      </c>
      <c r="B26" t="s">
        <v>35</v>
      </c>
      <c r="C26" t="s">
        <v>5</v>
      </c>
      <c r="D26" t="s">
        <v>36</v>
      </c>
      <c r="E26" t="s">
        <v>37</v>
      </c>
      <c r="L26" s="45"/>
      <c r="M26" s="46"/>
      <c r="N26" s="46"/>
      <c r="O26" s="46"/>
      <c r="P26" s="46"/>
    </row>
    <row r="27" spans="1:16" x14ac:dyDescent="0.45">
      <c r="A27" s="11" t="s">
        <v>2</v>
      </c>
      <c r="M27" s="46"/>
      <c r="N27" s="46"/>
      <c r="O27" s="46"/>
      <c r="P27" s="46"/>
    </row>
    <row r="28" spans="1:16" x14ac:dyDescent="0.45">
      <c r="A28" s="11"/>
      <c r="B28" t="s">
        <v>3</v>
      </c>
      <c r="C28" s="16" cm="1">
        <f t="array" ref="C28">표6[HOOATS - Orderbook Internal]*D2*1000</f>
        <v>23.27</v>
      </c>
      <c r="D28" s="1">
        <f>C28/C33</f>
        <v>0.24668716209053324</v>
      </c>
      <c r="E28" s="1">
        <f>C28/C49</f>
        <v>0.16938895361302306</v>
      </c>
      <c r="L28" s="45"/>
      <c r="M28" s="46"/>
      <c r="N28" s="46"/>
      <c r="O28" s="46"/>
      <c r="P28" s="46"/>
    </row>
    <row r="29" spans="1:16" x14ac:dyDescent="0.45">
      <c r="A29" s="11"/>
      <c r="B29" t="s">
        <v>18</v>
      </c>
      <c r="C29" s="16" cm="1">
        <f t="array" ref="C29">D2*표6[HOOATS - AMM Internal]*1000</f>
        <v>12.53</v>
      </c>
      <c r="D29" s="1">
        <f>C29/C33</f>
        <v>0.13283154881797943</v>
      </c>
      <c r="E29" s="1">
        <f>C29/C49</f>
        <v>9.1209436560858559E-2</v>
      </c>
      <c r="L29" s="45"/>
      <c r="M29" s="46"/>
      <c r="N29" s="46"/>
      <c r="O29" s="46"/>
      <c r="P29" s="46"/>
    </row>
    <row r="30" spans="1:16" x14ac:dyDescent="0.45">
      <c r="A30" s="11"/>
      <c r="B30" t="s">
        <v>108</v>
      </c>
      <c r="C30" s="16" cm="1">
        <f t="array" ref="C30">표6[Bonding Curve Internal]*D2*1000</f>
        <v>12.53</v>
      </c>
      <c r="D30" s="1">
        <f>C30/C33</f>
        <v>0.13283154881797943</v>
      </c>
      <c r="E30" s="1">
        <f>C30/C49</f>
        <v>9.1209436560858559E-2</v>
      </c>
      <c r="L30" s="45"/>
      <c r="M30" s="46"/>
      <c r="N30" s="46"/>
      <c r="O30" s="46"/>
      <c r="P30" s="46"/>
    </row>
    <row r="31" spans="1:16" x14ac:dyDescent="0.45">
      <c r="A31" s="11"/>
      <c r="B31" t="s">
        <v>10</v>
      </c>
      <c r="C31" s="16" cm="1">
        <f t="array" ref="C31">표6[Partner Indices]*E2*1000</f>
        <v>15</v>
      </c>
      <c r="D31" s="1">
        <f>표10[[#This Row],[Amount (M)]]/C33</f>
        <v>0.15901621965440474</v>
      </c>
      <c r="E31" s="1">
        <f>표10[[#This Row],[Amount (M)]]/C49</f>
        <v>0.10918926962592805</v>
      </c>
      <c r="L31" s="45"/>
      <c r="M31" s="46"/>
      <c r="N31" s="46"/>
      <c r="O31" s="46"/>
      <c r="P31" s="46"/>
    </row>
    <row r="32" spans="1:16" x14ac:dyDescent="0.45">
      <c r="A32" s="11"/>
      <c r="B32" t="s">
        <v>1</v>
      </c>
      <c r="C32" s="16" cm="1">
        <f t="array" ref="C32">F2*1000*표6[Partner Routing]</f>
        <v>30.999999999999996</v>
      </c>
      <c r="D32" s="1">
        <f>C32/C33</f>
        <v>0.32863352061910311</v>
      </c>
      <c r="E32" s="1">
        <f>C32/C49</f>
        <v>0.2256578238935846</v>
      </c>
      <c r="L32" s="45"/>
      <c r="M32" s="46"/>
      <c r="N32" s="46"/>
      <c r="O32" s="46"/>
      <c r="P32" s="46"/>
    </row>
    <row r="33" spans="1:16" x14ac:dyDescent="0.45">
      <c r="A33" s="11"/>
      <c r="B33" s="11" t="s">
        <v>6</v>
      </c>
      <c r="C33" s="82">
        <f>SUM(C28:C32)</f>
        <v>94.33</v>
      </c>
      <c r="D33" s="19"/>
      <c r="E33" s="19">
        <f>C33/C49</f>
        <v>0.6866549202542529</v>
      </c>
      <c r="L33" s="45"/>
      <c r="M33" s="46"/>
      <c r="N33" s="46"/>
      <c r="O33" s="46"/>
      <c r="P33" s="46"/>
    </row>
    <row r="34" spans="1:16" x14ac:dyDescent="0.45">
      <c r="A34" s="11" t="s">
        <v>7</v>
      </c>
      <c r="C34" s="16"/>
      <c r="D34" s="17"/>
      <c r="E34" s="1">
        <f>C34/C49</f>
        <v>0</v>
      </c>
      <c r="L34" s="45"/>
      <c r="M34" s="46"/>
      <c r="N34" s="46"/>
      <c r="O34" s="46"/>
      <c r="P34" s="46"/>
    </row>
    <row r="35" spans="1:16" x14ac:dyDescent="0.45">
      <c r="A35" s="11"/>
      <c r="B35" t="s">
        <v>8</v>
      </c>
      <c r="C35" s="16">
        <f>B16*B8*12*1000</f>
        <v>12.249999999999996</v>
      </c>
      <c r="D35" s="1">
        <f>C35/C39</f>
        <v>0.39443447116890212</v>
      </c>
      <c r="E35" s="1">
        <f>C35/C49</f>
        <v>8.9171236861174549E-2</v>
      </c>
      <c r="L35" s="45"/>
      <c r="M35" s="46"/>
      <c r="N35" s="46"/>
      <c r="O35" s="46"/>
      <c r="P35" s="46"/>
    </row>
    <row r="36" spans="1:16" x14ac:dyDescent="0.45">
      <c r="A36" s="11"/>
      <c r="B36" t="s">
        <v>9</v>
      </c>
      <c r="C36" s="16">
        <f>C8*C16*26*1000</f>
        <v>10.5</v>
      </c>
      <c r="D36" s="1">
        <f>C36/C39</f>
        <v>0.33808668957334481</v>
      </c>
      <c r="E36" s="1">
        <f>C36/C49</f>
        <v>7.6432488738149632E-2</v>
      </c>
      <c r="L36" s="45"/>
      <c r="M36" s="46"/>
      <c r="N36" s="46"/>
      <c r="O36" s="46"/>
      <c r="P36" s="46"/>
    </row>
    <row r="37" spans="1:16" x14ac:dyDescent="0.45">
      <c r="A37" s="11"/>
      <c r="B37" t="s">
        <v>10</v>
      </c>
      <c r="C37" s="16">
        <f>F16*F8*12*1000</f>
        <v>7.8904109589041092</v>
      </c>
      <c r="D37" s="1">
        <f>C37/C39</f>
        <v>0.25406123052086965</v>
      </c>
      <c r="E37" s="1">
        <f>C37/C49</f>
        <v>5.7436547310077218E-2</v>
      </c>
      <c r="L37" s="45"/>
      <c r="M37" s="46"/>
      <c r="N37" s="46"/>
      <c r="O37" s="46"/>
      <c r="P37" s="46"/>
    </row>
    <row r="38" spans="1:16" x14ac:dyDescent="0.45">
      <c r="A38" s="11"/>
      <c r="B38" t="s">
        <v>11</v>
      </c>
      <c r="C38" s="16">
        <f>E8*26*1000*E16</f>
        <v>0.41671232876712333</v>
      </c>
      <c r="D38" s="1">
        <f>C38/C39</f>
        <v>1.341760873688343E-2</v>
      </c>
      <c r="E38" s="1">
        <f>C38/C49</f>
        <v>3.0333676548134534E-3</v>
      </c>
      <c r="P38" s="46"/>
    </row>
    <row r="39" spans="1:16" x14ac:dyDescent="0.45">
      <c r="A39" s="11"/>
      <c r="B39" s="11" t="s">
        <v>12</v>
      </c>
      <c r="C39" s="82">
        <f>SUM(C35:C38)</f>
        <v>31.057123287671228</v>
      </c>
      <c r="D39" s="19"/>
      <c r="E39" s="19">
        <f>C39/C49</f>
        <v>0.22607364056421486</v>
      </c>
    </row>
    <row r="40" spans="1:16" x14ac:dyDescent="0.45">
      <c r="A40" s="11" t="s">
        <v>14</v>
      </c>
      <c r="C40" s="16"/>
      <c r="D40" s="1"/>
      <c r="E40" s="1"/>
    </row>
    <row r="41" spans="1:16" x14ac:dyDescent="0.45">
      <c r="A41" s="11"/>
      <c r="B41" t="s">
        <v>8</v>
      </c>
      <c r="C41" s="16">
        <f>B9*B16*1000</f>
        <v>7.1458333333333313</v>
      </c>
      <c r="D41" s="1">
        <f>C41/C46</f>
        <v>0.62743217948421126</v>
      </c>
      <c r="E41" s="1">
        <f>C41/C49</f>
        <v>5.2016554835685153E-2</v>
      </c>
      <c r="J41" s="12"/>
      <c r="K41" s="12"/>
      <c r="L41" s="12"/>
      <c r="M41" s="12"/>
      <c r="N41" s="12"/>
    </row>
    <row r="42" spans="1:16" x14ac:dyDescent="0.45">
      <c r="A42" s="11"/>
      <c r="B42" t="s">
        <v>9</v>
      </c>
      <c r="C42" s="16">
        <f>C16*C9*1000</f>
        <v>3.4326923076923079</v>
      </c>
      <c r="D42" s="1">
        <f>C42/C46</f>
        <v>0.30140384132208592</v>
      </c>
      <c r="E42" s="1">
        <f>C42/C49</f>
        <v>2.4987544395164304E-2</v>
      </c>
      <c r="I42" s="12"/>
      <c r="J42" s="14"/>
      <c r="K42" s="14"/>
      <c r="L42" s="13"/>
      <c r="M42" s="15"/>
      <c r="N42" s="15"/>
    </row>
    <row r="43" spans="1:16" x14ac:dyDescent="0.45">
      <c r="A43" s="11"/>
      <c r="B43" t="s">
        <v>11</v>
      </c>
      <c r="C43" s="16">
        <f>E9*E16*1000</f>
        <v>0.16027397260273973</v>
      </c>
      <c r="D43" s="1">
        <f>C43/C46</f>
        <v>1.4072683094306209E-2</v>
      </c>
      <c r="E43" s="1">
        <f>C43/C49</f>
        <v>1.1666798672359435E-3</v>
      </c>
      <c r="I43" s="12"/>
      <c r="J43" s="21"/>
      <c r="K43" s="21"/>
      <c r="L43" s="21"/>
      <c r="M43" s="21"/>
      <c r="N43" s="21"/>
    </row>
    <row r="44" spans="1:16" x14ac:dyDescent="0.45">
      <c r="A44" s="11"/>
      <c r="B44" t="s">
        <v>15</v>
      </c>
      <c r="C44" s="16">
        <f>F9*F16*1000</f>
        <v>0.16438356164383561</v>
      </c>
      <c r="D44" s="1">
        <f>C44/C46</f>
        <v>1.4433521122365341E-2</v>
      </c>
      <c r="E44" s="1">
        <f>C44/C49</f>
        <v>1.1965947356266087E-3</v>
      </c>
      <c r="I44" s="12"/>
      <c r="J44" s="15"/>
      <c r="K44" s="15"/>
      <c r="L44" s="14"/>
      <c r="M44" s="15"/>
      <c r="N44" s="14"/>
    </row>
    <row r="45" spans="1:16" x14ac:dyDescent="0.45">
      <c r="A45" s="11"/>
      <c r="B45" t="s">
        <v>16</v>
      </c>
      <c r="C45" s="16">
        <f>D9*D16*1000</f>
        <v>0.48582995951417013</v>
      </c>
      <c r="D45" s="1">
        <f>C45/C46</f>
        <v>4.2657774977031181E-2</v>
      </c>
      <c r="E45" s="1">
        <f>C45/C49</f>
        <v>3.5364945627830956E-3</v>
      </c>
      <c r="I45" s="12"/>
      <c r="J45" s="13"/>
      <c r="K45" s="13"/>
      <c r="L45" s="13"/>
      <c r="M45" s="13"/>
      <c r="N45" s="13"/>
    </row>
    <row r="46" spans="1:16" x14ac:dyDescent="0.45">
      <c r="A46" s="11"/>
      <c r="B46" s="11" t="s">
        <v>33</v>
      </c>
      <c r="C46" s="82">
        <f>SUM(C41:C45)</f>
        <v>11.389013134786385</v>
      </c>
      <c r="D46" s="19"/>
      <c r="E46" s="19">
        <f>C46/C49</f>
        <v>8.2903868396495106E-2</v>
      </c>
      <c r="I46" s="12"/>
      <c r="J46" s="15"/>
      <c r="K46" s="15"/>
      <c r="L46" s="15"/>
      <c r="M46" s="15"/>
      <c r="N46" s="15"/>
    </row>
    <row r="47" spans="1:16" x14ac:dyDescent="0.45">
      <c r="A47" s="11" t="s">
        <v>17</v>
      </c>
      <c r="C47" s="16"/>
      <c r="D47" s="1"/>
      <c r="E47" s="1"/>
      <c r="I47" s="12"/>
      <c r="J47" s="21"/>
      <c r="K47" s="21"/>
      <c r="L47" s="50"/>
      <c r="M47" s="50"/>
      <c r="N47" s="50"/>
    </row>
    <row r="48" spans="1:16" x14ac:dyDescent="0.45">
      <c r="A48" s="11"/>
      <c r="B48" s="11" t="s">
        <v>38</v>
      </c>
      <c r="C48" s="82">
        <f>5*'Net Income Calculator'!B11*12/1000000</f>
        <v>0.6</v>
      </c>
      <c r="D48" s="19"/>
      <c r="E48" s="19">
        <f>C48/C49</f>
        <v>4.3675707850371216E-3</v>
      </c>
      <c r="I48" s="20"/>
    </row>
    <row r="49" spans="1:5" x14ac:dyDescent="0.45">
      <c r="A49" s="58" t="s">
        <v>34</v>
      </c>
      <c r="B49" s="58"/>
      <c r="C49" s="83">
        <f>C48+C46+C39+C33</f>
        <v>137.37613642245762</v>
      </c>
      <c r="D49" s="59"/>
      <c r="E49" s="59">
        <f>SUM(E48+E46+E39+E33)</f>
        <v>1</v>
      </c>
    </row>
  </sheetData>
  <phoneticPr fontId="2" type="noConversion"/>
  <conditionalFormatting sqref="B28:C33"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{7B058656-807D-4415-A33D-E0C80F2A6492}</x14:id>
        </ext>
      </extLst>
    </cfRule>
  </conditionalFormatting>
  <conditionalFormatting sqref="B35:C39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{5B383161-4F0D-4229-831B-961FB14B0167}</x14:id>
        </ext>
      </extLst>
    </cfRule>
  </conditionalFormatting>
  <conditionalFormatting sqref="B41:C46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{317C4B57-BA88-4F1A-994D-4B683C60FAC6}</x14:id>
        </ext>
      </extLst>
    </cfRule>
  </conditionalFormatting>
  <conditionalFormatting sqref="B48:C48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{EC97033E-DC43-4F2E-B63F-8C8A7019A749}</x14:id>
        </ext>
      </extLst>
    </cfRule>
  </conditionalFormatting>
  <conditionalFormatting sqref="B20:E20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{4A7437B2-4C3B-4581-8FB3-62D1BE9EC207}</x14:id>
        </ext>
      </extLst>
    </cfRule>
  </conditionalFormatting>
  <conditionalFormatting sqref="B11:F11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{8D086E64-C82B-48F3-BAF1-0E31613ED32F}</x14:id>
        </ext>
      </extLst>
    </cfRule>
  </conditionalFormatting>
  <conditionalFormatting sqref="B12:F12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{0DD3566A-C245-4458-BA16-8E674D5CF47A}</x14:id>
        </ext>
      </extLst>
    </cfRule>
  </conditionalFormatting>
  <conditionalFormatting sqref="B13:F1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{8B11EADC-F3C6-4B29-9A8F-1E1B317FBF75}</x14:id>
        </ext>
      </extLst>
    </cfRule>
  </conditionalFormatting>
  <conditionalFormatting sqref="B14:F14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{320C9405-0407-49F0-994D-0A6A2EBA52E3}</x14:id>
        </ext>
      </extLst>
    </cfRule>
  </conditionalFormatting>
  <conditionalFormatting sqref="B15:F15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{1AF5D1BB-87A5-4F5F-B29C-81948AA5493A}</x14:id>
        </ext>
      </extLst>
    </cfRule>
  </conditionalFormatting>
  <conditionalFormatting sqref="B16:F16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{63DECBD7-8298-416F-9768-E7EA2914E895}</x14:id>
        </ext>
      </extLst>
    </cfRule>
  </conditionalFormatting>
  <conditionalFormatting sqref="B22:F2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{85670C15-4103-47EB-878A-505C8FC9533B}</x14:id>
        </ext>
      </extLst>
    </cfRule>
  </conditionalFormatting>
  <conditionalFormatting sqref="E28:E48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{77CEB430-02A3-4C99-A5AE-04CB5A363387}</x14:id>
        </ext>
      </extLst>
    </cfRule>
  </conditionalFormatting>
  <conditionalFormatting sqref="J9:L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{47AC1868-4D3C-4F30-BAAC-47B12C911E11}</x14:id>
        </ext>
      </extLst>
    </cfRule>
  </conditionalFormatting>
  <conditionalFormatting sqref="K2:N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{04E71816-8E43-424A-B80D-6F167E4D7536}</x14:id>
        </ext>
      </extLst>
    </cfRule>
  </conditionalFormatting>
  <conditionalFormatting sqref="K3:N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{4324E72E-C9EB-44DF-8E40-D06E1BC3D266}</x14:id>
        </ext>
      </extLst>
    </cfRule>
  </conditionalFormatting>
  <conditionalFormatting sqref="K4:N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{E3859E97-56AE-43C2-8CCF-4DAC7EBD9BD9}</x14:id>
        </ext>
      </extLst>
    </cfRule>
  </conditionalFormatting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058656-807D-4415-A33D-E0C80F2A64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B28:C33</xm:sqref>
        </x14:conditionalFormatting>
        <x14:conditionalFormatting xmlns:xm="http://schemas.microsoft.com/office/excel/2006/main">
          <x14:cfRule type="dataBar" id="{5B383161-4F0D-4229-831B-961FB14B016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B35:C39</xm:sqref>
        </x14:conditionalFormatting>
        <x14:conditionalFormatting xmlns:xm="http://schemas.microsoft.com/office/excel/2006/main">
          <x14:cfRule type="dataBar" id="{317C4B57-BA88-4F1A-994D-4B683C60FAC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B41:C46</xm:sqref>
        </x14:conditionalFormatting>
        <x14:conditionalFormatting xmlns:xm="http://schemas.microsoft.com/office/excel/2006/main">
          <x14:cfRule type="dataBar" id="{EC97033E-DC43-4F2E-B63F-8C8A7019A74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B48:C48</xm:sqref>
        </x14:conditionalFormatting>
        <x14:conditionalFormatting xmlns:xm="http://schemas.microsoft.com/office/excel/2006/main">
          <x14:cfRule type="dataBar" id="{4A7437B2-4C3B-4581-8FB3-62D1BE9EC20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B20:E20</xm:sqref>
        </x14:conditionalFormatting>
        <x14:conditionalFormatting xmlns:xm="http://schemas.microsoft.com/office/excel/2006/main">
          <x14:cfRule type="dataBar" id="{8D086E64-C82B-48F3-BAF1-0E31613ED3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B11:F11</xm:sqref>
        </x14:conditionalFormatting>
        <x14:conditionalFormatting xmlns:xm="http://schemas.microsoft.com/office/excel/2006/main">
          <x14:cfRule type="dataBar" id="{0DD3566A-C245-4458-BA16-8E674D5CF47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B12:F12</xm:sqref>
        </x14:conditionalFormatting>
        <x14:conditionalFormatting xmlns:xm="http://schemas.microsoft.com/office/excel/2006/main">
          <x14:cfRule type="dataBar" id="{8B11EADC-F3C6-4B29-9A8F-1E1B317FBF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B13:F13</xm:sqref>
        </x14:conditionalFormatting>
        <x14:conditionalFormatting xmlns:xm="http://schemas.microsoft.com/office/excel/2006/main">
          <x14:cfRule type="dataBar" id="{320C9405-0407-49F0-994D-0A6A2EBA52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B14:F14</xm:sqref>
        </x14:conditionalFormatting>
        <x14:conditionalFormatting xmlns:xm="http://schemas.microsoft.com/office/excel/2006/main">
          <x14:cfRule type="dataBar" id="{1AF5D1BB-87A5-4F5F-B29C-81948AA5493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B15:F15</xm:sqref>
        </x14:conditionalFormatting>
        <x14:conditionalFormatting xmlns:xm="http://schemas.microsoft.com/office/excel/2006/main">
          <x14:cfRule type="dataBar" id="{63DECBD7-8298-416F-9768-E7EA2914E8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B16:F16</xm:sqref>
        </x14:conditionalFormatting>
        <x14:conditionalFormatting xmlns:xm="http://schemas.microsoft.com/office/excel/2006/main">
          <x14:cfRule type="dataBar" id="{85670C15-4103-47EB-878A-505C8FC953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B22:F22</xm:sqref>
        </x14:conditionalFormatting>
        <x14:conditionalFormatting xmlns:xm="http://schemas.microsoft.com/office/excel/2006/main">
          <x14:cfRule type="dataBar" id="{77CEB430-02A3-4C99-A5AE-04CB5A3633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E28:E48</xm:sqref>
        </x14:conditionalFormatting>
        <x14:conditionalFormatting xmlns:xm="http://schemas.microsoft.com/office/excel/2006/main">
          <x14:cfRule type="dataBar" id="{47AC1868-4D3C-4F30-BAAC-47B12C911E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J9:L23</xm:sqref>
        </x14:conditionalFormatting>
        <x14:conditionalFormatting xmlns:xm="http://schemas.microsoft.com/office/excel/2006/main">
          <x14:cfRule type="dataBar" id="{04E71816-8E43-424A-B80D-6F167E4D753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K2:N2</xm:sqref>
        </x14:conditionalFormatting>
        <x14:conditionalFormatting xmlns:xm="http://schemas.microsoft.com/office/excel/2006/main">
          <x14:cfRule type="dataBar" id="{4324E72E-C9EB-44DF-8E40-D06E1BC3D2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K3:N3</xm:sqref>
        </x14:conditionalFormatting>
        <x14:conditionalFormatting xmlns:xm="http://schemas.microsoft.com/office/excel/2006/main">
          <x14:cfRule type="dataBar" id="{E3859E97-56AE-43C2-8CCF-4DAC7EBD9B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K4:N4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AB91-B535-41A1-B54E-34D4A6F37BD4}">
  <dimension ref="A1:W75"/>
  <sheetViews>
    <sheetView topLeftCell="A30" zoomScale="61" zoomScaleNormal="55" workbookViewId="0">
      <selection activeCell="H36" sqref="H36"/>
    </sheetView>
  </sheetViews>
  <sheetFormatPr defaultRowHeight="17" x14ac:dyDescent="0.45"/>
  <cols>
    <col min="1" max="1" width="27.08203125" bestFit="1" customWidth="1"/>
    <col min="2" max="2" width="71.83203125" customWidth="1"/>
    <col min="3" max="3" width="63.5" bestFit="1" customWidth="1"/>
    <col min="4" max="4" width="12.25" bestFit="1" customWidth="1"/>
    <col min="5" max="5" width="22.58203125" bestFit="1" customWidth="1"/>
    <col min="6" max="6" width="18.5" bestFit="1" customWidth="1"/>
    <col min="7" max="7" width="31.75" bestFit="1" customWidth="1"/>
    <col min="8" max="8" width="18.08203125" customWidth="1"/>
    <col min="9" max="9" width="11.25" bestFit="1" customWidth="1"/>
    <col min="10" max="10" width="33.83203125" bestFit="1" customWidth="1"/>
    <col min="11" max="11" width="22.58203125" customWidth="1"/>
    <col min="12" max="12" width="13.5" customWidth="1"/>
    <col min="13" max="13" width="8.83203125" customWidth="1"/>
  </cols>
  <sheetData>
    <row r="1" spans="1:23" x14ac:dyDescent="0.45">
      <c r="A1" t="s">
        <v>41</v>
      </c>
      <c r="B1" t="s">
        <v>55</v>
      </c>
      <c r="C1" t="s">
        <v>42</v>
      </c>
      <c r="E1" t="s">
        <v>26</v>
      </c>
      <c r="F1" t="s">
        <v>53</v>
      </c>
    </row>
    <row r="2" spans="1:23" x14ac:dyDescent="0.45">
      <c r="A2" t="s">
        <v>43</v>
      </c>
      <c r="B2" s="5">
        <v>0.7</v>
      </c>
      <c r="C2" s="6">
        <v>0.5</v>
      </c>
      <c r="E2" t="s">
        <v>54</v>
      </c>
      <c r="F2" s="3">
        <v>0.7</v>
      </c>
    </row>
    <row r="3" spans="1:23" ht="17.5" thickBot="1" x14ac:dyDescent="0.5">
      <c r="A3" t="s">
        <v>44</v>
      </c>
      <c r="B3" s="5">
        <v>0.75</v>
      </c>
      <c r="C3" s="6">
        <v>0.55000000000000004</v>
      </c>
    </row>
    <row r="4" spans="1:23" ht="17.5" thickBot="1" x14ac:dyDescent="0.5">
      <c r="A4" t="s">
        <v>45</v>
      </c>
      <c r="B4" s="5">
        <v>0.8</v>
      </c>
      <c r="C4" s="6">
        <v>0.6</v>
      </c>
      <c r="E4" s="28" t="s">
        <v>57</v>
      </c>
      <c r="F4" s="29" cm="1">
        <f t="array" ref="F4">표20[% of Users]*B16</f>
        <v>0.46112500000000001</v>
      </c>
    </row>
    <row r="5" spans="1:23" x14ac:dyDescent="0.45">
      <c r="A5" t="s">
        <v>46</v>
      </c>
      <c r="B5" s="5">
        <v>0.85</v>
      </c>
      <c r="C5" s="6"/>
    </row>
    <row r="6" spans="1:23" x14ac:dyDescent="0.45">
      <c r="A6" t="s">
        <v>47</v>
      </c>
      <c r="B6" s="5">
        <v>0.9</v>
      </c>
      <c r="C6" s="6"/>
      <c r="G6" s="3"/>
    </row>
    <row r="8" spans="1:23" x14ac:dyDescent="0.45">
      <c r="A8" t="s">
        <v>41</v>
      </c>
      <c r="B8" t="s">
        <v>56</v>
      </c>
      <c r="C8" t="s">
        <v>49</v>
      </c>
      <c r="L8" s="3"/>
    </row>
    <row r="9" spans="1:23" x14ac:dyDescent="0.45">
      <c r="A9" t="s">
        <v>43</v>
      </c>
      <c r="B9" s="3">
        <v>0.35</v>
      </c>
      <c r="C9" s="3">
        <v>0.5</v>
      </c>
    </row>
    <row r="10" spans="1:23" x14ac:dyDescent="0.45">
      <c r="A10" t="s">
        <v>44</v>
      </c>
      <c r="B10" s="3">
        <v>0.3</v>
      </c>
      <c r="C10" s="3">
        <v>0.3</v>
      </c>
    </row>
    <row r="11" spans="1:23" x14ac:dyDescent="0.45">
      <c r="A11" t="s">
        <v>45</v>
      </c>
      <c r="B11" s="3">
        <v>0.2</v>
      </c>
      <c r="C11" s="3">
        <v>0.2</v>
      </c>
    </row>
    <row r="12" spans="1:23" x14ac:dyDescent="0.45">
      <c r="A12" t="s">
        <v>46</v>
      </c>
      <c r="B12" s="3">
        <v>0.1</v>
      </c>
      <c r="C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3" x14ac:dyDescent="0.45">
      <c r="A13" t="s">
        <v>47</v>
      </c>
      <c r="B13" s="3">
        <v>0.05</v>
      </c>
      <c r="C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45">
      <c r="A14" s="23" t="s">
        <v>50</v>
      </c>
      <c r="B14" s="24" cm="1">
        <f t="array" ref="B14">SUM(B9:B13*표1_12[Influencers/KOLs])</f>
        <v>0.76</v>
      </c>
      <c r="C14" s="25" cm="1">
        <f t="array" ref="C14">SUM(C9:C11*C2:C4)</f>
        <v>0.53500000000000003</v>
      </c>
      <c r="I14" s="3"/>
      <c r="M14" s="3"/>
      <c r="R14" s="3"/>
    </row>
    <row r="15" spans="1:23" x14ac:dyDescent="0.45">
      <c r="A15" t="s">
        <v>51</v>
      </c>
      <c r="B15" s="3">
        <v>0.55000000000000004</v>
      </c>
      <c r="C15" s="3">
        <v>0.45</v>
      </c>
    </row>
    <row r="16" spans="1:23" x14ac:dyDescent="0.45">
      <c r="A16" s="26" t="s">
        <v>52</v>
      </c>
      <c r="B16" s="27" cm="1">
        <f t="array" ref="B16">SUM(B14:C14*B15:C15)</f>
        <v>0.65875000000000006</v>
      </c>
      <c r="C16" s="27"/>
    </row>
    <row r="18" spans="1:11" x14ac:dyDescent="0.45">
      <c r="A18" t="s">
        <v>58</v>
      </c>
      <c r="B18" t="s">
        <v>59</v>
      </c>
      <c r="C18" t="s">
        <v>32</v>
      </c>
    </row>
    <row r="19" spans="1:11" x14ac:dyDescent="0.45">
      <c r="A19" t="s">
        <v>61</v>
      </c>
      <c r="B19" s="3">
        <v>0.5</v>
      </c>
      <c r="C19" s="3">
        <v>0.6</v>
      </c>
      <c r="H19" s="1"/>
    </row>
    <row r="20" spans="1:11" x14ac:dyDescent="0.45">
      <c r="A20" t="s">
        <v>60</v>
      </c>
      <c r="B20" s="3">
        <v>0.55000000000000004</v>
      </c>
      <c r="C20" s="3">
        <v>0.25</v>
      </c>
    </row>
    <row r="21" spans="1:11" x14ac:dyDescent="0.45">
      <c r="A21" t="s">
        <v>62</v>
      </c>
      <c r="B21" s="3">
        <v>0.6</v>
      </c>
      <c r="C21" s="3">
        <v>0.15</v>
      </c>
    </row>
    <row r="22" spans="1:11" x14ac:dyDescent="0.45">
      <c r="A22" s="26" t="s">
        <v>50</v>
      </c>
      <c r="B22" s="30" cm="1">
        <f t="array" ref="B22">SUM(B19:B21*C19:C21)</f>
        <v>0.52749999999999997</v>
      </c>
      <c r="C22" s="31"/>
    </row>
    <row r="24" spans="1:11" x14ac:dyDescent="0.45">
      <c r="A24" t="s">
        <v>66</v>
      </c>
      <c r="B24" t="s">
        <v>67</v>
      </c>
      <c r="C24" t="s">
        <v>68</v>
      </c>
      <c r="D24" t="s">
        <v>48</v>
      </c>
    </row>
    <row r="25" spans="1:11" x14ac:dyDescent="0.45">
      <c r="A25" t="s">
        <v>63</v>
      </c>
      <c r="B25" s="3">
        <v>0.8</v>
      </c>
      <c r="C25">
        <v>0</v>
      </c>
      <c r="D25" s="3">
        <v>0.8</v>
      </c>
    </row>
    <row r="26" spans="1:11" x14ac:dyDescent="0.45">
      <c r="A26" t="s">
        <v>64</v>
      </c>
      <c r="B26" s="3">
        <v>0.85</v>
      </c>
      <c r="C26">
        <v>15</v>
      </c>
      <c r="D26" s="3">
        <v>0.15</v>
      </c>
    </row>
    <row r="27" spans="1:11" x14ac:dyDescent="0.45">
      <c r="A27" t="s">
        <v>65</v>
      </c>
      <c r="B27" s="3">
        <v>0.95</v>
      </c>
      <c r="C27">
        <v>30</v>
      </c>
      <c r="D27" s="3">
        <v>0.05</v>
      </c>
    </row>
    <row r="28" spans="1:11" x14ac:dyDescent="0.45">
      <c r="A28" s="32" t="s">
        <v>50</v>
      </c>
      <c r="B28" s="32" cm="1">
        <f t="array" ref="B28">SUM(B25:B27*D25:D27)</f>
        <v>0.81500000000000006</v>
      </c>
      <c r="C28" s="32"/>
      <c r="D28" s="32"/>
    </row>
    <row r="30" spans="1:11" x14ac:dyDescent="0.45">
      <c r="A30" t="s">
        <v>4</v>
      </c>
      <c r="B30" t="s">
        <v>35</v>
      </c>
      <c r="C30" t="s">
        <v>5</v>
      </c>
      <c r="D30" t="s">
        <v>36</v>
      </c>
      <c r="E30" t="s">
        <v>37</v>
      </c>
      <c r="K30" s="22"/>
    </row>
    <row r="31" spans="1:11" x14ac:dyDescent="0.45">
      <c r="A31" s="11" t="s">
        <v>69</v>
      </c>
      <c r="E31" s="2"/>
    </row>
    <row r="32" spans="1:11" x14ac:dyDescent="0.45">
      <c r="A32" s="11"/>
      <c r="B32" t="s">
        <v>132</v>
      </c>
      <c r="C32" s="16">
        <f>(Revenue!C28+Revenue!C29+Revenue!C30+Revenue!C31*50%)*F4</f>
        <v>25.744608750000001</v>
      </c>
      <c r="D32" s="44">
        <f>C32/C37</f>
        <v>0.57921897450753768</v>
      </c>
      <c r="E32" s="2">
        <f>C32/C65</f>
        <v>0.51774776336288253</v>
      </c>
    </row>
    <row r="33" spans="1:10" x14ac:dyDescent="0.45">
      <c r="A33" s="11"/>
      <c r="B33" t="s">
        <v>133</v>
      </c>
      <c r="C33" s="16">
        <f>Revenue!C32*Expense!B22</f>
        <v>16.352499999999996</v>
      </c>
      <c r="D33" s="44">
        <f>C33/C37</f>
        <v>0.36790919499347635</v>
      </c>
      <c r="E33" s="2">
        <f>표10_19[[#This Row],[Amount (M)]]/C65</f>
        <v>0.32886381698815031</v>
      </c>
      <c r="G33" s="81"/>
      <c r="H33" s="55"/>
      <c r="I33" s="55"/>
    </row>
    <row r="34" spans="1:10" x14ac:dyDescent="0.45">
      <c r="A34" s="11"/>
      <c r="B34" t="s">
        <v>134</v>
      </c>
      <c r="C34" s="16">
        <f>SUM(D26*C26+D27*C27)*'Net Income Calculator'!B12*55%/100</f>
        <v>1.65</v>
      </c>
      <c r="D34" s="2">
        <f>C34/C37</f>
        <v>3.7122774605671066E-2</v>
      </c>
      <c r="E34" s="2">
        <f>표10_19[[#This Row],[Amount (M)]]/C65</f>
        <v>3.3183017766729744E-2</v>
      </c>
      <c r="G34" s="57"/>
      <c r="H34" s="56"/>
      <c r="I34" s="56"/>
    </row>
    <row r="35" spans="1:10" x14ac:dyDescent="0.45">
      <c r="A35" s="11"/>
      <c r="B35" t="s">
        <v>78</v>
      </c>
      <c r="C35" s="41">
        <f>2*'Net Income Calculator'!B2/100</f>
        <v>0.4</v>
      </c>
      <c r="D35" s="2">
        <f>C35/C37</f>
        <v>8.9994605104657139E-3</v>
      </c>
      <c r="E35" s="2">
        <f>표10_19[[#This Row],[Amount (M)]]/C65</f>
        <v>8.0443679434496363E-3</v>
      </c>
      <c r="G35" s="57" t="s">
        <v>146</v>
      </c>
      <c r="H35" s="56" t="s">
        <v>147</v>
      </c>
      <c r="I35" s="56"/>
    </row>
    <row r="36" spans="1:10" x14ac:dyDescent="0.45">
      <c r="A36" s="11"/>
      <c r="B36" t="s">
        <v>70</v>
      </c>
      <c r="C36" s="16">
        <f>1.5*'Net Income Calculator'!B2/100</f>
        <v>0.3</v>
      </c>
      <c r="D36" s="2">
        <f>C36/C37</f>
        <v>6.749595382849285E-3</v>
      </c>
      <c r="E36" s="2">
        <f>표10_19[[#This Row],[Amount (M)]]/C65</f>
        <v>6.0332759575872259E-3</v>
      </c>
      <c r="G36" s="92">
        <f>Revenue!C49*0.01%*15*1000000</f>
        <v>206064.20463368643</v>
      </c>
      <c r="H36" s="93">
        <f>Revenue!C49*0.1%*1000000+J38</f>
        <v>163440.34105614407</v>
      </c>
      <c r="I36" s="56"/>
    </row>
    <row r="37" spans="1:10" x14ac:dyDescent="0.45">
      <c r="A37" s="60"/>
      <c r="B37" s="60" t="s">
        <v>71</v>
      </c>
      <c r="C37" s="61">
        <f>SUM(C32:C36)</f>
        <v>44.447108749999991</v>
      </c>
      <c r="D37" s="62"/>
      <c r="E37" s="62">
        <f>표10_19[[#This Row],[Amount (M)]]/C65</f>
        <v>0.89387224201879933</v>
      </c>
      <c r="G37" s="57" t="s">
        <v>148</v>
      </c>
      <c r="H37" s="56" t="s">
        <v>149</v>
      </c>
      <c r="I37" s="56" t="s">
        <v>150</v>
      </c>
      <c r="J37" t="s">
        <v>151</v>
      </c>
    </row>
    <row r="38" spans="1:10" x14ac:dyDescent="0.45">
      <c r="A38" s="11" t="s">
        <v>72</v>
      </c>
      <c r="C38" s="16"/>
      <c r="D38" s="18"/>
      <c r="E38" s="2"/>
      <c r="G38" s="94">
        <f>IF(H36&lt;80000, 80000, H36)</f>
        <v>163440.34105614407</v>
      </c>
      <c r="H38">
        <f>INT(G36 / 45000)</f>
        <v>4</v>
      </c>
      <c r="I38" s="85">
        <f xml:space="preserve"> INT(G36/ 45000) * 45000</f>
        <v>180000</v>
      </c>
      <c r="J38" s="47">
        <f xml:space="preserve"> G36 - (INT(G36 / 45000) * 45000)</f>
        <v>26064.20463368643</v>
      </c>
    </row>
    <row r="39" spans="1:10" x14ac:dyDescent="0.45">
      <c r="A39" s="11"/>
      <c r="B39" t="s">
        <v>75</v>
      </c>
      <c r="C39" s="16">
        <f>0.15*3*4</f>
        <v>1.7999999999999998</v>
      </c>
      <c r="D39" s="2">
        <f>C39/C41</f>
        <v>0.89285714285714279</v>
      </c>
      <c r="E39" s="2">
        <f>표10_19[[#This Row],[Amount (M)]]/C65</f>
        <v>3.6199655745523356E-2</v>
      </c>
      <c r="G39" t="s">
        <v>152</v>
      </c>
      <c r="I39" t="s">
        <v>155</v>
      </c>
    </row>
    <row r="40" spans="1:10" x14ac:dyDescent="0.45">
      <c r="A40" s="11"/>
      <c r="B40" t="s">
        <v>76</v>
      </c>
      <c r="C40" s="16">
        <f>(0.2*4+0.0125*3.5*4+0.0035*7.5*4)*'Net Income Calculator'!B2/100</f>
        <v>0.21600000000000003</v>
      </c>
      <c r="D40" s="2">
        <f>C40/C41</f>
        <v>0.10714285714285715</v>
      </c>
      <c r="E40" s="2">
        <f>표10_19[[#This Row],[Amount (M)]]/C65</f>
        <v>4.3439586894628039E-3</v>
      </c>
      <c r="G40" s="47">
        <f>G38/4</f>
        <v>40860.085264036017</v>
      </c>
      <c r="I40" s="85">
        <f>I38/H38</f>
        <v>45000</v>
      </c>
    </row>
    <row r="41" spans="1:10" s="11" customFormat="1" x14ac:dyDescent="0.45">
      <c r="A41" s="60"/>
      <c r="B41" s="60" t="s">
        <v>77</v>
      </c>
      <c r="C41" s="61">
        <f>SUM(C39:C40)</f>
        <v>2.016</v>
      </c>
      <c r="D41" s="62"/>
      <c r="E41" s="62">
        <f>표10_19[[#This Row],[Amount (M)]]/C65</f>
        <v>4.0543614434986164E-2</v>
      </c>
      <c r="G41"/>
    </row>
    <row r="42" spans="1:10" x14ac:dyDescent="0.45">
      <c r="A42" s="11" t="s">
        <v>73</v>
      </c>
      <c r="C42" s="16"/>
      <c r="D42" s="2"/>
      <c r="E42" s="2"/>
    </row>
    <row r="43" spans="1:10" x14ac:dyDescent="0.45">
      <c r="A43" s="11"/>
      <c r="B43" t="s">
        <v>80</v>
      </c>
      <c r="C43" s="16">
        <f>0.025*12</f>
        <v>0.30000000000000004</v>
      </c>
      <c r="D43" s="2">
        <f>C43/C56</f>
        <v>0.6963788300835656</v>
      </c>
      <c r="E43" s="2">
        <f>표10_19[[#This Row],[Amount (M)]]/C65</f>
        <v>6.0332759575872277E-3</v>
      </c>
    </row>
    <row r="44" spans="1:10" x14ac:dyDescent="0.45">
      <c r="A44" s="11"/>
      <c r="B44" t="s">
        <v>81</v>
      </c>
      <c r="C44" s="16">
        <f>0.015*12</f>
        <v>0.18</v>
      </c>
      <c r="D44" s="2">
        <f>C44/C56</f>
        <v>0.4178272980501393</v>
      </c>
      <c r="E44" s="2">
        <f>표10_19[[#This Row],[Amount (M)]]/C65</f>
        <v>3.6199655745523356E-3</v>
      </c>
    </row>
    <row r="45" spans="1:10" x14ac:dyDescent="0.45">
      <c r="A45" s="11"/>
      <c r="B45" t="s">
        <v>82</v>
      </c>
      <c r="C45" s="16">
        <f>0.004*12</f>
        <v>4.8000000000000001E-2</v>
      </c>
      <c r="D45" s="2">
        <f>C45/C56</f>
        <v>0.11142061281337048</v>
      </c>
      <c r="E45" s="2">
        <f>표10_19[[#This Row],[Amount (M)]]/C65</f>
        <v>9.6532415321395621E-4</v>
      </c>
    </row>
    <row r="46" spans="1:10" x14ac:dyDescent="0.45">
      <c r="A46" s="11"/>
      <c r="B46" t="s">
        <v>84</v>
      </c>
      <c r="C46" s="41">
        <f>0.0015*12</f>
        <v>1.8000000000000002E-2</v>
      </c>
      <c r="D46" s="2">
        <f>C46/56</f>
        <v>3.2142857142857147E-4</v>
      </c>
      <c r="E46" s="2">
        <f>표10_19[[#This Row],[Amount (M)]]/C65</f>
        <v>3.6199655745523362E-4</v>
      </c>
    </row>
    <row r="47" spans="1:10" x14ac:dyDescent="0.45">
      <c r="A47" s="11"/>
      <c r="B47" s="75" t="s">
        <v>83</v>
      </c>
      <c r="C47" s="76">
        <f>0.055*12</f>
        <v>0.66</v>
      </c>
      <c r="D47" s="77">
        <f>C47/C56</f>
        <v>1.5320334261838442</v>
      </c>
      <c r="E47" s="78">
        <f>표10_19[[#This Row],[Amount (M)]]/C65</f>
        <v>1.3273207106691899E-2</v>
      </c>
    </row>
    <row r="48" spans="1:10" x14ac:dyDescent="0.45">
      <c r="A48" s="11"/>
      <c r="B48" s="75" t="s">
        <v>79</v>
      </c>
      <c r="C48" s="79">
        <f>0.025*12</f>
        <v>0.30000000000000004</v>
      </c>
      <c r="D48" s="80">
        <f>C48/C56</f>
        <v>0.6963788300835656</v>
      </c>
      <c r="E48" s="80">
        <f>표10_19[[#This Row],[Amount (M)]]/C65</f>
        <v>6.0332759575872277E-3</v>
      </c>
    </row>
    <row r="49" spans="1:6" x14ac:dyDescent="0.45">
      <c r="A49" s="11"/>
      <c r="B49" t="s">
        <v>85</v>
      </c>
      <c r="C49" s="41">
        <f>0.036*12</f>
        <v>0.43199999999999994</v>
      </c>
      <c r="D49" s="2">
        <f>C49/C56</f>
        <v>1.0027855153203342</v>
      </c>
      <c r="E49" s="2">
        <f>표10_19[[#This Row],[Amount (M)]]/C65</f>
        <v>8.6879173789256043E-3</v>
      </c>
      <c r="F49" s="9"/>
    </row>
    <row r="50" spans="1:6" x14ac:dyDescent="0.45">
      <c r="A50" s="11"/>
      <c r="B50" t="s">
        <v>86</v>
      </c>
      <c r="C50" s="41">
        <f>0.005*12</f>
        <v>0.06</v>
      </c>
      <c r="D50" s="2">
        <f>C50/C56</f>
        <v>0.1392757660167131</v>
      </c>
      <c r="E50" s="2">
        <f>표10_19[[#This Row],[Amount (M)]]/C65</f>
        <v>1.2066551915174452E-3</v>
      </c>
      <c r="F50" s="33"/>
    </row>
    <row r="51" spans="1:6" x14ac:dyDescent="0.45">
      <c r="A51" s="11"/>
      <c r="B51" t="s">
        <v>87</v>
      </c>
      <c r="C51" s="41">
        <f>0.005*12</f>
        <v>0.06</v>
      </c>
      <c r="D51" s="2">
        <f>C51/C56</f>
        <v>0.1392757660167131</v>
      </c>
      <c r="E51" s="2">
        <f>표10_19[[#This Row],[Amount (M)]]/C65</f>
        <v>1.2066551915174452E-3</v>
      </c>
      <c r="F51" s="12"/>
    </row>
    <row r="52" spans="1:6" x14ac:dyDescent="0.45">
      <c r="A52" s="11"/>
      <c r="B52" t="s">
        <v>88</v>
      </c>
      <c r="C52" s="41">
        <f>0.003*12</f>
        <v>3.6000000000000004E-2</v>
      </c>
      <c r="D52" s="2">
        <f>C52/C56</f>
        <v>8.356545961002787E-2</v>
      </c>
      <c r="E52" s="2">
        <f>표10_19[[#This Row],[Amount (M)]]/C65</f>
        <v>7.2399311491046724E-4</v>
      </c>
      <c r="F52" s="13"/>
    </row>
    <row r="53" spans="1:6" x14ac:dyDescent="0.45">
      <c r="A53" s="11"/>
      <c r="B53" t="s">
        <v>90</v>
      </c>
      <c r="C53" s="41">
        <f>0.005*12</f>
        <v>0.06</v>
      </c>
      <c r="D53" s="2">
        <f>C53/C56</f>
        <v>0.1392757660167131</v>
      </c>
      <c r="E53" s="2">
        <f>표10_19[[#This Row],[Amount (M)]]/C65</f>
        <v>1.2066551915174452E-3</v>
      </c>
      <c r="F53" s="34"/>
    </row>
    <row r="54" spans="1:6" x14ac:dyDescent="0.45">
      <c r="A54" s="11"/>
      <c r="B54" t="s">
        <v>91</v>
      </c>
      <c r="C54" s="41">
        <f>0.02*12</f>
        <v>0.24</v>
      </c>
      <c r="D54" s="2">
        <f>C54/C56</f>
        <v>0.55710306406685239</v>
      </c>
      <c r="E54" s="2">
        <f>표10_19[[#This Row],[Amount (M)]]/C65</f>
        <v>4.8266207660697807E-3</v>
      </c>
      <c r="F54" s="15"/>
    </row>
    <row r="55" spans="1:6" x14ac:dyDescent="0.45">
      <c r="A55" s="11"/>
      <c r="B55" t="s">
        <v>92</v>
      </c>
      <c r="C55" s="41">
        <f>0.02*12</f>
        <v>0.24</v>
      </c>
      <c r="D55" s="2">
        <f>C55/C56</f>
        <v>0.55710306406685239</v>
      </c>
      <c r="E55" s="2">
        <f>표10_19[[#This Row],[Amount (M)]]/C65</f>
        <v>4.8266207660697807E-3</v>
      </c>
      <c r="F55" s="35"/>
    </row>
    <row r="56" spans="1:6" s="11" customFormat="1" x14ac:dyDescent="0.45">
      <c r="A56" s="63"/>
      <c r="B56" s="63" t="s">
        <v>89</v>
      </c>
      <c r="C56" s="64">
        <f>SUM(C43:C53)*'Net Income Calculator'!B2/100</f>
        <v>0.43079999999999996</v>
      </c>
      <c r="D56" s="65"/>
      <c r="E56" s="65">
        <f>표10_19[[#This Row],[Amount (M)]]/C65</f>
        <v>8.6637842750952564E-3</v>
      </c>
      <c r="F56" s="39"/>
    </row>
    <row r="57" spans="1:6" x14ac:dyDescent="0.45">
      <c r="A57" s="11" t="s">
        <v>131</v>
      </c>
      <c r="C57" s="41"/>
      <c r="D57" s="2"/>
      <c r="E57" s="2"/>
      <c r="F57" s="36"/>
    </row>
    <row r="58" spans="1:6" s="87" customFormat="1" x14ac:dyDescent="0.45">
      <c r="A58" s="67"/>
      <c r="B58" s="87" t="s">
        <v>93</v>
      </c>
      <c r="C58" s="89">
        <f>0.5%*Revenue!C49</f>
        <v>0.68688068211228814</v>
      </c>
      <c r="D58" s="90">
        <f>표10_19[[#This Row],[Amount (M)]]/C64</f>
        <v>0.24268649262384817</v>
      </c>
      <c r="E58" s="91">
        <f>표10_19[[#This Row],[Amount (M)]]/C65</f>
        <v>1.3813802350397275E-2</v>
      </c>
    </row>
    <row r="59" spans="1:6" x14ac:dyDescent="0.45">
      <c r="A59" s="66" t="s">
        <v>94</v>
      </c>
      <c r="B59" s="67"/>
      <c r="C59" s="68"/>
      <c r="D59" s="69"/>
      <c r="E59" s="88"/>
    </row>
    <row r="60" spans="1:6" x14ac:dyDescent="0.45">
      <c r="A60" s="11"/>
      <c r="B60" t="s">
        <v>95</v>
      </c>
      <c r="C60" s="36">
        <f>(G40*4+I38)/1000000</f>
        <v>0.34344034105614407</v>
      </c>
      <c r="D60" s="33">
        <f>표10_19[[#This Row],[Amount (M)]]/C64</f>
        <v>0.12134324631192409</v>
      </c>
      <c r="E60" s="33">
        <f>표10_19[[#This Row],[Amount (M)]]/C65</f>
        <v>6.9069011751986377E-3</v>
      </c>
    </row>
    <row r="61" spans="1:6" x14ac:dyDescent="0.45">
      <c r="A61" s="11" t="s">
        <v>74</v>
      </c>
      <c r="B61" s="11"/>
      <c r="C61" s="39"/>
      <c r="D61" s="43"/>
      <c r="E61" s="43"/>
    </row>
    <row r="62" spans="1:6" x14ac:dyDescent="0.45">
      <c r="A62" s="11"/>
      <c r="B62" t="s">
        <v>96</v>
      </c>
      <c r="C62" s="41">
        <f>1</f>
        <v>1</v>
      </c>
      <c r="D62" s="33">
        <f>표10_19[[#This Row],[Amount (M)]]/C64</f>
        <v>0.35331681170234874</v>
      </c>
      <c r="E62" s="33">
        <f>표10_19[[#This Row],[Amount (M)]]/C65</f>
        <v>2.0110919858624086E-2</v>
      </c>
    </row>
    <row r="63" spans="1:6" x14ac:dyDescent="0.45">
      <c r="A63" s="11"/>
      <c r="B63" s="42" t="s">
        <v>97</v>
      </c>
      <c r="C63" s="37">
        <f>0.8</f>
        <v>0.8</v>
      </c>
      <c r="D63" s="34">
        <f>표10_19[[#This Row],[Amount (M)]]/C64</f>
        <v>0.28265344936187903</v>
      </c>
      <c r="E63" s="34">
        <f>표10_19[[#This Row],[Amount (M)]]/C65</f>
        <v>1.6088735886899273E-2</v>
      </c>
    </row>
    <row r="64" spans="1:6" s="11" customFormat="1" x14ac:dyDescent="0.45">
      <c r="A64" s="63"/>
      <c r="B64" s="63" t="s">
        <v>98</v>
      </c>
      <c r="C64" s="70">
        <f>SUM(C58:C63)</f>
        <v>2.8303210231684321</v>
      </c>
      <c r="D64" s="71"/>
      <c r="E64" s="71">
        <f>표10_19[[#This Row],[Amount (M)]]/C65</f>
        <v>5.692035927111927E-2</v>
      </c>
    </row>
    <row r="65" spans="1:5" x14ac:dyDescent="0.45">
      <c r="A65" s="72" t="s">
        <v>34</v>
      </c>
      <c r="B65" s="72"/>
      <c r="C65" s="84">
        <f>SUM(C64+C56+C41+C37)</f>
        <v>49.724229773168425</v>
      </c>
      <c r="D65" s="73"/>
      <c r="E65" s="74">
        <f>SUM(E64+E56+E41+E37)</f>
        <v>1</v>
      </c>
    </row>
    <row r="67" spans="1:5" x14ac:dyDescent="0.45">
      <c r="A67" t="s">
        <v>130</v>
      </c>
      <c r="B67" s="47">
        <f>Revenue!C49-Expense!C65</f>
        <v>87.651906649289202</v>
      </c>
    </row>
    <row r="71" spans="1:5" x14ac:dyDescent="0.45">
      <c r="A71" s="11"/>
      <c r="C71" s="36"/>
      <c r="D71" s="38"/>
      <c r="E71" s="38"/>
    </row>
    <row r="72" spans="1:5" x14ac:dyDescent="0.45">
      <c r="A72" s="11"/>
      <c r="B72" s="11"/>
      <c r="C72" s="39"/>
      <c r="D72" s="40"/>
      <c r="E72" s="40"/>
    </row>
    <row r="73" spans="1:5" x14ac:dyDescent="0.45">
      <c r="A73" s="11"/>
      <c r="C73" s="41"/>
    </row>
    <row r="74" spans="1:5" x14ac:dyDescent="0.45">
      <c r="A74" s="11"/>
      <c r="B74" s="13"/>
      <c r="C74" s="37"/>
      <c r="D74" s="34"/>
      <c r="E74" s="13"/>
    </row>
    <row r="75" spans="1:5" x14ac:dyDescent="0.45">
      <c r="A75" s="11"/>
      <c r="B75" s="15"/>
      <c r="C75" s="37"/>
      <c r="D75" s="15"/>
      <c r="E75" s="15"/>
    </row>
  </sheetData>
  <phoneticPr fontId="2" type="noConversion"/>
  <conditionalFormatting sqref="A75:E75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{2C28EAC6-3239-4B98-89A9-53CFBE7B5961}</x14:id>
        </ext>
      </extLst>
    </cfRule>
  </conditionalFormatting>
  <conditionalFormatting sqref="B32:B34 B36:B37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{8AF02632-CA95-4B30-AC8C-526AA5B741B5}</x14:id>
        </ext>
      </extLst>
    </cfRule>
  </conditionalFormatting>
  <conditionalFormatting sqref="B39:B41">
    <cfRule type="dataBar" priority="3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{2B408F23-AB4C-4118-826A-F7FD76505E3B}</x14:id>
        </ext>
      </extLst>
    </cfRule>
  </conditionalFormatting>
  <conditionalFormatting sqref="B43 B59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{62A3D534-E11C-4087-98C1-A7EFE58DFB5C}</x14:id>
        </ext>
      </extLst>
    </cfRule>
  </conditionalFormatting>
  <conditionalFormatting sqref="B47:B48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{63E9E33B-BAF3-4A79-96B3-BF49CDA22E3F}</x14:id>
        </ext>
      </extLst>
    </cfRule>
  </conditionalFormatting>
  <conditionalFormatting sqref="B61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{E9E43CDE-60CB-4C92-91D1-CBEAC7214A00}</x14:id>
        </ext>
      </extLst>
    </cfRule>
  </conditionalFormatting>
  <conditionalFormatting sqref="B7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{7EA9DDFF-9C5B-4C2A-B2A7-575AD7948514}</x14:id>
        </ext>
      </extLst>
    </cfRule>
  </conditionalFormatting>
  <conditionalFormatting sqref="D7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{90E59338-A063-4833-A69B-A74B925F32D9}</x14:id>
        </ext>
      </extLst>
    </cfRule>
  </conditionalFormatting>
  <conditionalFormatting sqref="E71:E72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{56B41A17-3710-44E9-89F6-9656EDC372FF}</x14:id>
        </ext>
      </extLst>
    </cfRule>
  </conditionalFormatting>
  <conditionalFormatting sqref="F53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{81494495-0DD7-48F6-AF08-DD853A4B6808}</x14:id>
        </ext>
      </extLst>
    </cfRule>
  </conditionalFormatting>
  <conditionalFormatting sqref="F54 B64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{196327C3-790A-4011-BFE2-DEAFD1500FB4}</x14:id>
        </ext>
      </extLst>
    </cfRule>
  </conditionalFormatting>
  <conditionalFormatting sqref="F5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{8169772F-91A7-4E67-B243-3C17A0F2CF93}</x14:id>
        </ext>
      </extLst>
    </cfRule>
  </conditionalFormatting>
  <conditionalFormatting sqref="F57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{ABDD4DC5-09E2-4B32-BDB8-6FD84511383E}</x14:id>
        </ext>
      </extLst>
    </cfRule>
  </conditionalFormatting>
  <conditionalFormatting sqref="C31:C37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{5E92C482-C11B-4B35-A836-5757096838B2}</x14:id>
        </ext>
      </extLst>
    </cfRule>
  </conditionalFormatting>
  <conditionalFormatting sqref="C39:C4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{6C063CDB-482A-4075-A7AA-19268AB2CE0F}</x14:id>
        </ext>
      </extLst>
    </cfRule>
  </conditionalFormatting>
  <conditionalFormatting sqref="C43:C5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{A8989AFD-8ADE-4886-8DA4-0973C6BE4909}</x14:id>
        </ext>
      </extLst>
    </cfRule>
  </conditionalFormatting>
  <conditionalFormatting sqref="C58:C64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{700DE350-4DE9-4F7C-BDC2-FD9B5CE86F21}</x14:id>
        </ext>
      </extLst>
    </cfRule>
  </conditionalFormatting>
  <conditionalFormatting sqref="C32:C37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{58794812-DEA7-4E74-BE7D-34945C899902}</x14:id>
        </ext>
      </extLst>
    </cfRule>
  </conditionalFormatting>
  <conditionalFormatting sqref="E32:E64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{F8760A20-31B3-498F-9034-75B87317758E}</x14:id>
        </ext>
      </extLst>
    </cfRule>
  </conditionalFormatting>
  <pageMargins left="0.7" right="0.7" top="0.75" bottom="0.75" header="0.3" footer="0.3"/>
  <ignoredErrors>
    <ignoredError sqref="C52" formula="1"/>
  </ignoredErrors>
  <tableParts count="6">
    <tablePart r:id="rId1"/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28EAC6-3239-4B98-89A9-53CFBE7B59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A75:E75</xm:sqref>
        </x14:conditionalFormatting>
        <x14:conditionalFormatting xmlns:xm="http://schemas.microsoft.com/office/excel/2006/main">
          <x14:cfRule type="dataBar" id="{8AF02632-CA95-4B30-AC8C-526AA5B741B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B32:B34 B36:B37</xm:sqref>
        </x14:conditionalFormatting>
        <x14:conditionalFormatting xmlns:xm="http://schemas.microsoft.com/office/excel/2006/main">
          <x14:cfRule type="dataBar" id="{2B408F23-AB4C-4118-826A-F7FD76505E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B39:B41</xm:sqref>
        </x14:conditionalFormatting>
        <x14:conditionalFormatting xmlns:xm="http://schemas.microsoft.com/office/excel/2006/main">
          <x14:cfRule type="dataBar" id="{62A3D534-E11C-4087-98C1-A7EFE58DFB5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B43 B59</xm:sqref>
        </x14:conditionalFormatting>
        <x14:conditionalFormatting xmlns:xm="http://schemas.microsoft.com/office/excel/2006/main">
          <x14:cfRule type="dataBar" id="{63E9E33B-BAF3-4A79-96B3-BF49CDA22E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B47:B48</xm:sqref>
        </x14:conditionalFormatting>
        <x14:conditionalFormatting xmlns:xm="http://schemas.microsoft.com/office/excel/2006/main">
          <x14:cfRule type="dataBar" id="{E9E43CDE-60CB-4C92-91D1-CBEAC7214A0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B61</xm:sqref>
        </x14:conditionalFormatting>
        <x14:conditionalFormatting xmlns:xm="http://schemas.microsoft.com/office/excel/2006/main">
          <x14:cfRule type="dataBar" id="{7EA9DDFF-9C5B-4C2A-B2A7-575AD794851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B72</xm:sqref>
        </x14:conditionalFormatting>
        <x14:conditionalFormatting xmlns:xm="http://schemas.microsoft.com/office/excel/2006/main">
          <x14:cfRule type="dataBar" id="{90E59338-A063-4833-A69B-A74B925F32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D74</xm:sqref>
        </x14:conditionalFormatting>
        <x14:conditionalFormatting xmlns:xm="http://schemas.microsoft.com/office/excel/2006/main">
          <x14:cfRule type="dataBar" id="{56B41A17-3710-44E9-89F6-9656EDC372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E71:E72</xm:sqref>
        </x14:conditionalFormatting>
        <x14:conditionalFormatting xmlns:xm="http://schemas.microsoft.com/office/excel/2006/main">
          <x14:cfRule type="dataBar" id="{81494495-0DD7-48F6-AF08-DD853A4B68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F53</xm:sqref>
        </x14:conditionalFormatting>
        <x14:conditionalFormatting xmlns:xm="http://schemas.microsoft.com/office/excel/2006/main">
          <x14:cfRule type="dataBar" id="{196327C3-790A-4011-BFE2-DEAFD1500F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F54 B64</xm:sqref>
        </x14:conditionalFormatting>
        <x14:conditionalFormatting xmlns:xm="http://schemas.microsoft.com/office/excel/2006/main">
          <x14:cfRule type="dataBar" id="{8169772F-91A7-4E67-B243-3C17A0F2CF9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F55</xm:sqref>
        </x14:conditionalFormatting>
        <x14:conditionalFormatting xmlns:xm="http://schemas.microsoft.com/office/excel/2006/main">
          <x14:cfRule type="dataBar" id="{ABDD4DC5-09E2-4B32-BDB8-6FD8451138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F57</xm:sqref>
        </x14:conditionalFormatting>
        <x14:conditionalFormatting xmlns:xm="http://schemas.microsoft.com/office/excel/2006/main">
          <x14:cfRule type="dataBar" id="{5E92C482-C11B-4B35-A836-5757096838B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C31:C37</xm:sqref>
        </x14:conditionalFormatting>
        <x14:conditionalFormatting xmlns:xm="http://schemas.microsoft.com/office/excel/2006/main">
          <x14:cfRule type="dataBar" id="{6C063CDB-482A-4075-A7AA-19268AB2CE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C39:C41</xm:sqref>
        </x14:conditionalFormatting>
        <x14:conditionalFormatting xmlns:xm="http://schemas.microsoft.com/office/excel/2006/main">
          <x14:cfRule type="dataBar" id="{A8989AFD-8ADE-4886-8DA4-0973C6BE49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C43:C56</xm:sqref>
        </x14:conditionalFormatting>
        <x14:conditionalFormatting xmlns:xm="http://schemas.microsoft.com/office/excel/2006/main">
          <x14:cfRule type="dataBar" id="{700DE350-4DE9-4F7C-BDC2-FD9B5CE86F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C58:C64</xm:sqref>
        </x14:conditionalFormatting>
        <x14:conditionalFormatting xmlns:xm="http://schemas.microsoft.com/office/excel/2006/main">
          <x14:cfRule type="dataBar" id="{58794812-DEA7-4E74-BE7D-34945C8999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C32:C37</xm:sqref>
        </x14:conditionalFormatting>
        <x14:conditionalFormatting xmlns:xm="http://schemas.microsoft.com/office/excel/2006/main">
          <x14:cfRule type="dataBar" id="{F8760A20-31B3-498F-9034-75B87317758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E32:E64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263C-5EEF-453B-BD99-14133F42FD29}">
  <dimension ref="A1:C23"/>
  <sheetViews>
    <sheetView tabSelected="1" zoomScale="70" workbookViewId="0">
      <selection activeCell="B3" sqref="B3"/>
    </sheetView>
  </sheetViews>
  <sheetFormatPr defaultRowHeight="17" x14ac:dyDescent="0.45"/>
  <cols>
    <col min="1" max="1" width="16.83203125" bestFit="1" customWidth="1"/>
    <col min="2" max="2" width="11.83203125" bestFit="1" customWidth="1"/>
  </cols>
  <sheetData>
    <row r="1" spans="1:2" x14ac:dyDescent="0.45">
      <c r="A1" t="s">
        <v>26</v>
      </c>
      <c r="B1" t="s">
        <v>153</v>
      </c>
    </row>
    <row r="2" spans="1:2" x14ac:dyDescent="0.45">
      <c r="A2" t="s">
        <v>136</v>
      </c>
      <c r="B2">
        <v>20</v>
      </c>
    </row>
    <row r="3" spans="1:2" x14ac:dyDescent="0.45">
      <c r="A3" s="94" t="s">
        <v>137</v>
      </c>
      <c r="B3" s="94">
        <f>Revenue!C49</f>
        <v>137.37613642245762</v>
      </c>
    </row>
    <row r="4" spans="1:2" x14ac:dyDescent="0.45">
      <c r="A4" s="94" t="s">
        <v>140</v>
      </c>
      <c r="B4" s="94">
        <f>Expense!C65</f>
        <v>49.724229773168425</v>
      </c>
    </row>
    <row r="5" spans="1:2" x14ac:dyDescent="0.45">
      <c r="A5" s="94" t="s">
        <v>130</v>
      </c>
      <c r="B5" s="94">
        <f>Expense!B67</f>
        <v>87.651906649289202</v>
      </c>
    </row>
    <row r="6" spans="1:2" x14ac:dyDescent="0.45">
      <c r="A6" t="s">
        <v>141</v>
      </c>
      <c r="B6" s="86">
        <f>Expense!B67/Revenue!C49</f>
        <v>0.63804317789039433</v>
      </c>
    </row>
    <row r="7" spans="1:2" x14ac:dyDescent="0.45">
      <c r="A7" s="86" t="s">
        <v>143</v>
      </c>
      <c r="B7" s="86">
        <f>SUM(Expense!C64,Expense!C39)/B4</f>
        <v>9.3120015016642618E-2</v>
      </c>
    </row>
    <row r="8" spans="1:2" x14ac:dyDescent="0.45">
      <c r="A8" s="86" t="s">
        <v>144</v>
      </c>
      <c r="B8" s="86" cm="1">
        <f t="array" ref="B8">SUM(Expense!C32:C34+Expense!C58)/B4</f>
        <v>0.92123600516895432</v>
      </c>
    </row>
    <row r="9" spans="1:2" x14ac:dyDescent="0.45">
      <c r="A9" s="86" t="s">
        <v>142</v>
      </c>
      <c r="B9" s="86">
        <f>SUM(Expense!C35:C36,Expense!C56,Expense!C40)/B4</f>
        <v>2.7085386865594918E-2</v>
      </c>
    </row>
    <row r="10" spans="1:2" x14ac:dyDescent="0.45">
      <c r="A10" s="86" t="s">
        <v>145</v>
      </c>
      <c r="B10" s="86" cm="1">
        <f t="array" ref="B10">SUM(Expense!C32:C34+Expense!C58)/B3</f>
        <v>0.33344765684390304</v>
      </c>
    </row>
    <row r="11" spans="1:2" x14ac:dyDescent="0.45">
      <c r="A11" s="86" t="s">
        <v>138</v>
      </c>
      <c r="B11" s="94">
        <f>50000*(B2/100)</f>
        <v>10000</v>
      </c>
    </row>
    <row r="12" spans="1:2" x14ac:dyDescent="0.45">
      <c r="A12" s="95" t="s">
        <v>139</v>
      </c>
      <c r="B12" s="94">
        <f>400*(B2/100)</f>
        <v>80</v>
      </c>
    </row>
    <row r="13" spans="1:2" x14ac:dyDescent="0.45">
      <c r="A13" s="86" t="s">
        <v>156</v>
      </c>
      <c r="B13" s="96">
        <f>Expense!G40</f>
        <v>40860.085264036017</v>
      </c>
    </row>
    <row r="14" spans="1:2" x14ac:dyDescent="0.45">
      <c r="A14" s="86" t="s">
        <v>154</v>
      </c>
      <c r="B14" s="97">
        <f>Expense!I40</f>
        <v>45000</v>
      </c>
    </row>
    <row r="15" spans="1:2" x14ac:dyDescent="0.45">
      <c r="A15" s="86" t="s">
        <v>157</v>
      </c>
      <c r="B15" s="94">
        <f>B13+B5*1000000*20%/4</f>
        <v>4423455.4177284967</v>
      </c>
    </row>
    <row r="16" spans="1:2" x14ac:dyDescent="0.45">
      <c r="A16" s="86" t="s">
        <v>158</v>
      </c>
      <c r="B16" s="94">
        <f>B5*1000000*3%/Expense!H38</f>
        <v>657389.29986966902</v>
      </c>
    </row>
    <row r="19" spans="1:3" x14ac:dyDescent="0.45">
      <c r="C19" s="86"/>
    </row>
    <row r="20" spans="1:3" x14ac:dyDescent="0.45">
      <c r="C20" s="86"/>
    </row>
    <row r="21" spans="1:3" x14ac:dyDescent="0.45">
      <c r="C21" s="86"/>
    </row>
    <row r="22" spans="1:3" x14ac:dyDescent="0.45">
      <c r="C22" s="86"/>
    </row>
    <row r="23" spans="1:3" x14ac:dyDescent="0.45">
      <c r="A23" s="86"/>
      <c r="B23" s="86"/>
      <c r="C23" s="86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Revenue</vt:lpstr>
      <vt:lpstr>Expense</vt:lpstr>
      <vt:lpstr>Net Income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최</dc:creator>
  <cp:lastModifiedBy>현수 최</cp:lastModifiedBy>
  <dcterms:created xsi:type="dcterms:W3CDTF">2025-09-05T13:24:15Z</dcterms:created>
  <dcterms:modified xsi:type="dcterms:W3CDTF">2025-09-10T08:07:54Z</dcterms:modified>
</cp:coreProperties>
</file>