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d24\OneDrive\문서\"/>
    </mc:Choice>
  </mc:AlternateContent>
  <xr:revisionPtr revIDLastSave="0" documentId="8_{BE034FA0-87F2-4AD3-97FC-E857BA66D3BE}" xr6:coauthVersionLast="47" xr6:coauthVersionMax="47" xr10:uidLastSave="{00000000-0000-0000-0000-000000000000}"/>
  <bookViews>
    <workbookView xWindow="-110" yWindow="-110" windowWidth="25820" windowHeight="13900" activeTab="1" xr2:uid="{FC9F7C52-8CC4-43B2-A95D-05CC98FBD406}"/>
  </bookViews>
  <sheets>
    <sheet name="Revenue" sheetId="1" r:id="rId1"/>
    <sheet name="Expe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2" l="1"/>
  <c r="E64" i="2"/>
  <c r="E63" i="2"/>
  <c r="E62" i="2"/>
  <c r="E60" i="2"/>
  <c r="E58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1" i="2"/>
  <c r="E40" i="2"/>
  <c r="E39" i="2"/>
  <c r="E37" i="2"/>
  <c r="E36" i="2"/>
  <c r="E35" i="2"/>
  <c r="E34" i="2"/>
  <c r="E33" i="2"/>
  <c r="E32" i="2"/>
  <c r="D62" i="2"/>
  <c r="D63" i="2"/>
  <c r="D60" i="2"/>
  <c r="D58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36" i="2"/>
  <c r="D35" i="2"/>
  <c r="D34" i="2"/>
  <c r="D32" i="2"/>
  <c r="D33" i="2"/>
  <c r="C65" i="2"/>
  <c r="C64" i="2"/>
  <c r="C63" i="2"/>
  <c r="C62" i="2"/>
  <c r="C60" i="2"/>
  <c r="C58" i="2"/>
  <c r="C55" i="2"/>
  <c r="C54" i="2"/>
  <c r="C53" i="2"/>
  <c r="C52" i="2"/>
  <c r="C51" i="2"/>
  <c r="C50" i="2"/>
  <c r="C49" i="2"/>
  <c r="C48" i="2"/>
  <c r="C47" i="2"/>
  <c r="C46" i="2"/>
  <c r="C43" i="2"/>
  <c r="C45" i="2"/>
  <c r="C44" i="2"/>
  <c r="C40" i="2"/>
  <c r="C39" i="2"/>
  <c r="C36" i="2"/>
  <c r="C34" i="2"/>
  <c r="B28" i="2" a="1"/>
  <c r="B28" i="2" s="1"/>
  <c r="B22" i="2" a="1"/>
  <c r="B22" i="2" s="1"/>
  <c r="C33" i="2" s="1"/>
  <c r="B14" i="2" a="1"/>
  <c r="B14" i="2" s="1"/>
  <c r="B16" i="2" s="1" a="1"/>
  <c r="B16" i="2" s="1"/>
  <c r="F4" i="2" s="1" a="1"/>
  <c r="F4" i="2" s="1"/>
  <c r="C32" i="2" s="1"/>
  <c r="C14" i="2" a="1"/>
  <c r="C14" i="2" s="1"/>
  <c r="B18" i="1"/>
  <c r="C18" i="1"/>
  <c r="C11" i="1"/>
  <c r="E11" i="1"/>
  <c r="B11" i="1"/>
  <c r="E18" i="1"/>
  <c r="B8" i="1"/>
  <c r="G2" i="1"/>
  <c r="D16" i="1" s="1"/>
  <c r="B2" i="1"/>
  <c r="D2" i="1" s="1"/>
  <c r="C56" i="2" l="1"/>
  <c r="F16" i="1"/>
  <c r="B20" i="1"/>
  <c r="C23" i="1" s="1" a="1"/>
  <c r="C23" i="1" s="1"/>
  <c r="C20" i="1"/>
  <c r="C24" i="1" s="1" a="1"/>
  <c r="C24" i="1" s="1"/>
  <c r="D20" i="1"/>
  <c r="C25" i="1" s="1" a="1"/>
  <c r="C25" i="1" s="1"/>
  <c r="E20" i="1"/>
  <c r="C26" i="1" s="1" a="1"/>
  <c r="C26" i="1" s="1"/>
  <c r="G5" i="1"/>
  <c r="E14" i="1" s="1"/>
  <c r="F14" i="1"/>
  <c r="D14" i="1"/>
  <c r="C39" i="1" s="1"/>
  <c r="C37" i="2" l="1"/>
  <c r="C37" i="1"/>
  <c r="C32" i="1"/>
  <c r="C14" i="1"/>
  <c r="C38" i="1"/>
  <c r="C31" i="1"/>
  <c r="B14" i="1"/>
  <c r="E16" i="1"/>
  <c r="C16" i="1"/>
  <c r="B16" i="1"/>
  <c r="C27" i="1"/>
  <c r="C41" i="2" l="1"/>
  <c r="D23" i="1"/>
  <c r="D25" i="1"/>
  <c r="D24" i="1"/>
  <c r="D26" i="1"/>
  <c r="C35" i="1"/>
  <c r="C29" i="1"/>
  <c r="C36" i="1"/>
  <c r="C30" i="1"/>
  <c r="D40" i="2" l="1"/>
  <c r="D39" i="2"/>
  <c r="C40" i="1"/>
  <c r="C33" i="1"/>
  <c r="D29" i="1" l="1"/>
  <c r="D32" i="1"/>
  <c r="D31" i="1"/>
  <c r="D30" i="1"/>
  <c r="D36" i="1"/>
  <c r="D35" i="1"/>
  <c r="D38" i="1"/>
  <c r="D39" i="1"/>
  <c r="D37" i="1"/>
  <c r="C43" i="1"/>
  <c r="E36" i="1" l="1"/>
  <c r="E37" i="1"/>
  <c r="E35" i="1"/>
  <c r="E32" i="1"/>
  <c r="E39" i="1"/>
  <c r="E28" i="1"/>
  <c r="E38" i="1"/>
  <c r="E29" i="1"/>
  <c r="E31" i="1"/>
  <c r="E30" i="1"/>
  <c r="E26" i="1"/>
  <c r="E24" i="1"/>
  <c r="E25" i="1"/>
  <c r="E23" i="1"/>
  <c r="E27" i="1"/>
  <c r="E40" i="1"/>
  <c r="E33" i="1"/>
  <c r="E42" i="1"/>
  <c r="E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<sst xmlns="http://schemas.openxmlformats.org/spreadsheetml/2006/main" count="169" uniqueCount="117">
  <si>
    <t>GMV</t>
    <phoneticPr fontId="3" type="noConversion"/>
  </si>
  <si>
    <t>Rebalancing Fee</t>
    <phoneticPr fontId="3" type="noConversion"/>
  </si>
  <si>
    <t>C-R Rate</t>
    <phoneticPr fontId="3" type="noConversion"/>
  </si>
  <si>
    <t>Partner Routing</t>
    <phoneticPr fontId="3" type="noConversion"/>
  </si>
  <si>
    <t>Trading</t>
    <phoneticPr fontId="3" type="noConversion"/>
  </si>
  <si>
    <t>HOOATS - Orderbook</t>
    <phoneticPr fontId="3" type="noConversion"/>
  </si>
  <si>
    <t>L3 Direct C-R</t>
    <phoneticPr fontId="3" type="noConversion"/>
  </si>
  <si>
    <t>Category</t>
    <phoneticPr fontId="3" type="noConversion"/>
  </si>
  <si>
    <t>Amount (M)</t>
    <phoneticPr fontId="3" type="noConversion"/>
  </si>
  <si>
    <t>Trading Total</t>
    <phoneticPr fontId="3" type="noConversion"/>
  </si>
  <si>
    <t>Rebalancing</t>
    <phoneticPr fontId="3" type="noConversion"/>
  </si>
  <si>
    <t>L1</t>
    <phoneticPr fontId="3" type="noConversion"/>
  </si>
  <si>
    <t>L2</t>
    <phoneticPr fontId="3" type="noConversion"/>
  </si>
  <si>
    <t>Partner Indices</t>
    <phoneticPr fontId="3" type="noConversion"/>
  </si>
  <si>
    <t>VS Theme</t>
    <phoneticPr fontId="3" type="noConversion"/>
  </si>
  <si>
    <t>Rebalancing Total</t>
    <phoneticPr fontId="3" type="noConversion"/>
  </si>
  <si>
    <t>Primary Market Volume (L1-L2-VS)</t>
    <phoneticPr fontId="3" type="noConversion"/>
  </si>
  <si>
    <t>Mgmt</t>
    <phoneticPr fontId="3" type="noConversion"/>
  </si>
  <si>
    <t>Partner</t>
    <phoneticPr fontId="3" type="noConversion"/>
  </si>
  <si>
    <t>L3</t>
    <phoneticPr fontId="3" type="noConversion"/>
  </si>
  <si>
    <t>Launcher</t>
    <phoneticPr fontId="3" type="noConversion"/>
  </si>
  <si>
    <t>HOOATS - AMM</t>
    <phoneticPr fontId="3" type="noConversion"/>
  </si>
  <si>
    <t>HOOATS Fee Rate</t>
    <phoneticPr fontId="3" type="noConversion"/>
  </si>
  <si>
    <t>HOOATS Fee Distribution</t>
    <phoneticPr fontId="3" type="noConversion"/>
  </si>
  <si>
    <t>VIP0</t>
    <phoneticPr fontId="3" type="noConversion"/>
  </si>
  <si>
    <t>VIP1</t>
    <phoneticPr fontId="3" type="noConversion"/>
  </si>
  <si>
    <t>VIP2</t>
    <phoneticPr fontId="3" type="noConversion"/>
  </si>
  <si>
    <t>VIP3</t>
    <phoneticPr fontId="3" type="noConversion"/>
  </si>
  <si>
    <t>VIP4</t>
    <phoneticPr fontId="3" type="noConversion"/>
  </si>
  <si>
    <t>Fee Tier</t>
    <phoneticPr fontId="3" type="noConversion"/>
  </si>
  <si>
    <t>합계</t>
  </si>
  <si>
    <t>평균</t>
    <phoneticPr fontId="3" type="noConversion"/>
  </si>
  <si>
    <t>누계</t>
    <phoneticPr fontId="3" type="noConversion"/>
  </si>
  <si>
    <t>개수</t>
    <phoneticPr fontId="3" type="noConversion"/>
  </si>
  <si>
    <t>HOOATS Blended Fee Rate</t>
    <phoneticPr fontId="3" type="noConversion"/>
  </si>
  <si>
    <t>Management Fee</t>
    <phoneticPr fontId="3" type="noConversion"/>
  </si>
  <si>
    <t>Categories</t>
    <phoneticPr fontId="3" type="noConversion"/>
  </si>
  <si>
    <t>N/A</t>
    <phoneticPr fontId="3" type="noConversion"/>
  </si>
  <si>
    <t>GMV Volume%</t>
    <phoneticPr fontId="3" type="noConversion"/>
  </si>
  <si>
    <t>Turnover Ratio</t>
    <phoneticPr fontId="3" type="noConversion"/>
  </si>
  <si>
    <t>L1/L2/VS Primary Market %</t>
    <phoneticPr fontId="3" type="noConversion"/>
  </si>
  <si>
    <t>C-R L3 - Internal</t>
    <phoneticPr fontId="3" type="noConversion"/>
  </si>
  <si>
    <t>L3/Partner Primary Market</t>
    <phoneticPr fontId="3" type="noConversion"/>
  </si>
  <si>
    <t>HOOATS - Orderbook Internal</t>
    <phoneticPr fontId="3" type="noConversion"/>
  </si>
  <si>
    <t>HOOATS - AMM Internal</t>
    <phoneticPr fontId="3" type="noConversion"/>
  </si>
  <si>
    <t>Percentage</t>
    <phoneticPr fontId="3" type="noConversion"/>
  </si>
  <si>
    <t>Mgmt Total</t>
    <phoneticPr fontId="3" type="noConversion"/>
  </si>
  <si>
    <t>Total</t>
    <phoneticPr fontId="3" type="noConversion"/>
  </si>
  <si>
    <t>Sub-Category</t>
    <phoneticPr fontId="3" type="noConversion"/>
  </si>
  <si>
    <t>Percentage Per Category</t>
    <phoneticPr fontId="3" type="noConversion"/>
  </si>
  <si>
    <t>Percentage Per Total</t>
    <phoneticPr fontId="3" type="noConversion"/>
  </si>
  <si>
    <t>Launcher Total</t>
    <phoneticPr fontId="3" type="noConversion"/>
  </si>
  <si>
    <t>AUM (B)</t>
    <phoneticPr fontId="3" type="noConversion"/>
  </si>
  <si>
    <t>Primary Market Volume (B)</t>
    <phoneticPr fontId="3" type="noConversion"/>
  </si>
  <si>
    <t>Trading Volume (B)</t>
    <phoneticPr fontId="3" type="noConversion"/>
  </si>
  <si>
    <t>Referral Tier</t>
    <phoneticPr fontId="3" type="noConversion"/>
  </si>
  <si>
    <t>Individuals</t>
    <phoneticPr fontId="3" type="noConversion"/>
  </si>
  <si>
    <t>Tier 0</t>
    <phoneticPr fontId="3" type="noConversion"/>
  </si>
  <si>
    <t>Tier 1</t>
    <phoneticPr fontId="3" type="noConversion"/>
  </si>
  <si>
    <t>Tier 2</t>
    <phoneticPr fontId="3" type="noConversion"/>
  </si>
  <si>
    <t>Tier 3</t>
    <phoneticPr fontId="3" type="noConversion"/>
  </si>
  <si>
    <t>Tier 4</t>
    <phoneticPr fontId="3" type="noConversion"/>
  </si>
  <si>
    <t>%</t>
    <phoneticPr fontId="3" type="noConversion"/>
  </si>
  <si>
    <t>Individuals %</t>
    <phoneticPr fontId="3" type="noConversion"/>
  </si>
  <si>
    <t>Blended Average</t>
    <phoneticPr fontId="3" type="noConversion"/>
  </si>
  <si>
    <t>Percentage from Total Referral Users</t>
    <phoneticPr fontId="3" type="noConversion"/>
  </si>
  <si>
    <t>Final Blended Referral Rate</t>
    <phoneticPr fontId="3" type="noConversion"/>
  </si>
  <si>
    <t>% of Users</t>
    <phoneticPr fontId="3" type="noConversion"/>
  </si>
  <si>
    <t>Referral Register / All</t>
    <phoneticPr fontId="3" type="noConversion"/>
  </si>
  <si>
    <t>Influencers/KOLs</t>
    <phoneticPr fontId="3" type="noConversion"/>
  </si>
  <si>
    <t>Influencers/KOLs %</t>
    <phoneticPr fontId="3" type="noConversion"/>
  </si>
  <si>
    <t>Referral Expenses %</t>
    <phoneticPr fontId="3" type="noConversion"/>
  </si>
  <si>
    <t>DEX Tiers</t>
    <phoneticPr fontId="3" type="noConversion"/>
  </si>
  <si>
    <t>Partner DEX Revenue Share</t>
    <phoneticPr fontId="3" type="noConversion"/>
  </si>
  <si>
    <t>DT 1</t>
    <phoneticPr fontId="3" type="noConversion"/>
  </si>
  <si>
    <t>DT 0</t>
    <phoneticPr fontId="3" type="noConversion"/>
  </si>
  <si>
    <t>DT 2</t>
    <phoneticPr fontId="3" type="noConversion"/>
  </si>
  <si>
    <t>PT 0</t>
    <phoneticPr fontId="3" type="noConversion"/>
  </si>
  <si>
    <t>PT 1</t>
    <phoneticPr fontId="3" type="noConversion"/>
  </si>
  <si>
    <t>PT 2</t>
    <phoneticPr fontId="3" type="noConversion"/>
  </si>
  <si>
    <t>Single Event - Promoter Tier</t>
    <phoneticPr fontId="3" type="noConversion"/>
  </si>
  <si>
    <t>Influencers/KOLs(+Streamers) Performance Bonus</t>
    <phoneticPr fontId="3" type="noConversion"/>
  </si>
  <si>
    <t>Fixed Payment (K) If they gets Fixed Payments, their Tier gets down</t>
    <phoneticPr fontId="3" type="noConversion"/>
  </si>
  <si>
    <t>Marketing &amp; CS</t>
    <phoneticPr fontId="3" type="noConversion"/>
  </si>
  <si>
    <t>DEX/Trading Platforms Revenue Share</t>
    <phoneticPr fontId="3" type="noConversion"/>
  </si>
  <si>
    <t>HyperIndex Referral Commission (Influencer/KOLs + Individuals)</t>
    <phoneticPr fontId="3" type="noConversion"/>
  </si>
  <si>
    <t>Single Events Promotion, Fixed Payment (400 Events/Year &amp; Fixed Payment Accept Rate 55%)</t>
    <phoneticPr fontId="3" type="noConversion"/>
  </si>
  <si>
    <t>Customer Service</t>
    <phoneticPr fontId="3" type="noConversion"/>
  </si>
  <si>
    <t>Marketing &amp; CS Total</t>
    <phoneticPr fontId="3" type="noConversion"/>
  </si>
  <si>
    <t>Security &amp; Audits</t>
    <phoneticPr fontId="3" type="noConversion"/>
  </si>
  <si>
    <t>Infra / Clouds</t>
    <phoneticPr fontId="3" type="noConversion"/>
  </si>
  <si>
    <t>General Ops &amp; Legal Compliance</t>
    <phoneticPr fontId="3" type="noConversion"/>
  </si>
  <si>
    <t xml:space="preserve">Smart Contract Audit </t>
    <phoneticPr fontId="3" type="noConversion"/>
  </si>
  <si>
    <t>Bug Bounty &amp; Monitoring</t>
    <phoneticPr fontId="3" type="noConversion"/>
  </si>
  <si>
    <t>Security &amp; Audits Total</t>
    <phoneticPr fontId="3" type="noConversion"/>
  </si>
  <si>
    <t>Community &amp; Brand Marketing</t>
    <phoneticPr fontId="3" type="noConversion"/>
  </si>
  <si>
    <t>Database</t>
    <phoneticPr fontId="3" type="noConversion"/>
  </si>
  <si>
    <t>Chain RPC</t>
    <phoneticPr fontId="3" type="noConversion"/>
  </si>
  <si>
    <t>CDN egress (CloudFront)</t>
  </si>
  <si>
    <t>S3 egress</t>
    <phoneticPr fontId="3" type="noConversion"/>
  </si>
  <si>
    <t>EC2/EKS</t>
    <phoneticPr fontId="3" type="noConversion"/>
  </si>
  <si>
    <t>S3 Save/Logging</t>
    <phoneticPr fontId="3" type="noConversion"/>
  </si>
  <si>
    <t>Redis</t>
    <phoneticPr fontId="3" type="noConversion"/>
  </si>
  <si>
    <t>Search/Log(ES/OS/Loki)</t>
    <phoneticPr fontId="3" type="noConversion"/>
  </si>
  <si>
    <t>Messaing &amp; Queue</t>
    <phoneticPr fontId="3" type="noConversion"/>
  </si>
  <si>
    <t>Security/Edge/Firewall/Bot Mananging</t>
    <phoneticPr fontId="3" type="noConversion"/>
  </si>
  <si>
    <t>Infra &amp; Clouds Total</t>
  </si>
  <si>
    <t>Monitoring / Logs</t>
    <phoneticPr fontId="3" type="noConversion"/>
  </si>
  <si>
    <t>Cross Chain Messaging</t>
    <phoneticPr fontId="3" type="noConversion"/>
  </si>
  <si>
    <t>Aggregators</t>
    <phoneticPr fontId="3" type="noConversion"/>
  </si>
  <si>
    <t>Liquiditty / Market Makers</t>
    <phoneticPr fontId="3" type="noConversion"/>
  </si>
  <si>
    <t>MM &amp; Liquidity Incentives</t>
    <phoneticPr fontId="3" type="noConversion"/>
  </si>
  <si>
    <t>Human Resources</t>
    <phoneticPr fontId="3" type="noConversion"/>
  </si>
  <si>
    <t>Payrolls</t>
    <phoneticPr fontId="3" type="noConversion"/>
  </si>
  <si>
    <t>Legal Compilaances</t>
    <phoneticPr fontId="3" type="noConversion"/>
  </si>
  <si>
    <t>General Ops</t>
    <phoneticPr fontId="3" type="noConversion"/>
  </si>
  <si>
    <t>Small Caps 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</si>
</sst>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0.0%"/>
    <numFmt numFmtId="177" formatCode="0.000%"/>
    <numFmt numFmtId="178" formatCode="0.0000%"/>
    <numFmt numFmtId="179" formatCode="_-* #,##0.0_-;\-* #,##0.0_-;_-* &quot;-&quot;_-;_-@_-"/>
    <numFmt numFmtId="180" formatCode="_-* #,##0.00_-;\-* #,##0.0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9" fontId="0" fillId="0" borderId="0" xfId="0" applyNumberFormat="1">
      <alignment vertical="center"/>
    </xf>
    <xf numFmtId="10" fontId="4" fillId="0" borderId="0" xfId="2" applyNumberFormat="1" applyFont="1">
      <alignment vertical="center"/>
    </xf>
    <xf numFmtId="10" fontId="5" fillId="0" borderId="0" xfId="2" applyNumberFormat="1" applyFont="1">
      <alignment vertical="center"/>
    </xf>
    <xf numFmtId="9" fontId="5" fillId="0" borderId="0" xfId="0" applyNumberFormat="1" applyFont="1">
      <alignment vertical="center"/>
    </xf>
    <xf numFmtId="178" fontId="5" fillId="0" borderId="0" xfId="2" applyNumberFormat="1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10" fontId="6" fillId="0" borderId="0" xfId="2" applyNumberFormat="1" applyFont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179" fontId="0" fillId="0" borderId="0" xfId="1" applyNumberFormat="1" applyFont="1">
      <alignment vertical="center"/>
    </xf>
    <xf numFmtId="180" fontId="0" fillId="0" borderId="0" xfId="1" applyNumberFormat="1" applyFont="1">
      <alignment vertical="center"/>
    </xf>
    <xf numFmtId="180" fontId="2" fillId="2" borderId="1" xfId="1" applyNumberFormat="1" applyFont="1" applyFill="1" applyBorder="1">
      <alignment vertical="center"/>
    </xf>
    <xf numFmtId="176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79" fontId="4" fillId="0" borderId="0" xfId="1" applyNumberFormat="1" applyFont="1">
      <alignment vertical="center"/>
    </xf>
    <xf numFmtId="176" fontId="4" fillId="0" borderId="0" xfId="2" applyNumberFormat="1" applyFont="1">
      <alignment vertical="center"/>
    </xf>
    <xf numFmtId="180" fontId="6" fillId="0" borderId="0" xfId="1" applyNumberFormat="1" applyFont="1">
      <alignment vertical="center"/>
    </xf>
    <xf numFmtId="180" fontId="6" fillId="0" borderId="0" xfId="1" applyNumberFormat="1" applyFont="1" applyAlignment="1">
      <alignment horizontal="right" vertical="center"/>
    </xf>
    <xf numFmtId="0" fontId="4" fillId="3" borderId="0" xfId="0" applyFont="1" applyFill="1">
      <alignment vertical="center"/>
    </xf>
    <xf numFmtId="179" fontId="4" fillId="3" borderId="0" xfId="1" applyNumberFormat="1" applyFont="1" applyFill="1">
      <alignment vertical="center"/>
    </xf>
    <xf numFmtId="176" fontId="4" fillId="3" borderId="0" xfId="2" applyNumberFormat="1" applyFont="1" applyFill="1">
      <alignment vertical="center"/>
    </xf>
    <xf numFmtId="178" fontId="0" fillId="0" borderId="0" xfId="0" applyNumberFormat="1">
      <alignment vertical="center"/>
    </xf>
    <xf numFmtId="0" fontId="4" fillId="4" borderId="0" xfId="0" applyFont="1" applyFill="1">
      <alignment vertical="center"/>
    </xf>
    <xf numFmtId="9" fontId="4" fillId="4" borderId="0" xfId="0" applyNumberFormat="1" applyFont="1" applyFill="1">
      <alignment vertical="center"/>
    </xf>
    <xf numFmtId="177" fontId="4" fillId="4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7" fillId="5" borderId="0" xfId="0" applyFont="1" applyFill="1">
      <alignment vertical="center"/>
    </xf>
    <xf numFmtId="177" fontId="7" fillId="5" borderId="0" xfId="0" applyNumberFormat="1" applyFont="1" applyFill="1" applyAlignment="1">
      <alignment horizontal="right" vertical="center"/>
    </xf>
    <xf numFmtId="0" fontId="8" fillId="5" borderId="2" xfId="0" applyFont="1" applyFill="1" applyBorder="1">
      <alignment vertical="center"/>
    </xf>
    <xf numFmtId="177" fontId="8" fillId="5" borderId="3" xfId="0" applyNumberFormat="1" applyFont="1" applyFill="1" applyBorder="1">
      <alignment vertical="center"/>
    </xf>
    <xf numFmtId="178" fontId="7" fillId="5" borderId="0" xfId="0" applyNumberFormat="1" applyFont="1" applyFill="1" applyAlignment="1">
      <alignment horizontal="right" vertical="center"/>
    </xf>
    <xf numFmtId="9" fontId="7" fillId="5" borderId="0" xfId="0" applyNumberFormat="1" applyFont="1" applyFill="1" applyAlignment="1">
      <alignment horizontal="right" vertical="center"/>
    </xf>
    <xf numFmtId="10" fontId="7" fillId="5" borderId="0" xfId="2" applyNumberFormat="1" applyFont="1" applyFill="1">
      <alignment vertical="center"/>
    </xf>
    <xf numFmtId="0" fontId="0" fillId="0" borderId="0" xfId="0" applyFill="1" applyBorder="1">
      <alignment vertical="center"/>
    </xf>
    <xf numFmtId="10" fontId="0" fillId="0" borderId="0" xfId="2" applyNumberFormat="1" applyFont="1" applyFill="1" applyBorder="1">
      <alignment vertical="center"/>
    </xf>
    <xf numFmtId="10" fontId="5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10" fontId="6" fillId="0" borderId="0" xfId="2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9" fontId="6" fillId="0" borderId="0" xfId="0" applyNumberFormat="1" applyFont="1" applyFill="1" applyBorder="1" applyAlignment="1">
      <alignment horizontal="right" vertical="center"/>
    </xf>
    <xf numFmtId="180" fontId="6" fillId="0" borderId="0" xfId="1" applyNumberFormat="1" applyFont="1" applyFill="1" applyBorder="1" applyAlignment="1">
      <alignment horizontal="right" vertical="center"/>
    </xf>
    <xf numFmtId="180" fontId="0" fillId="0" borderId="0" xfId="1" applyNumberFormat="1" applyFont="1" applyFill="1" applyBorder="1">
      <alignment vertical="center"/>
    </xf>
    <xf numFmtId="0" fontId="0" fillId="0" borderId="4" xfId="0" applyFont="1" applyBorder="1">
      <alignment vertical="center"/>
    </xf>
    <xf numFmtId="0" fontId="4" fillId="0" borderId="0" xfId="0" applyFont="1" applyFill="1" applyBorder="1">
      <alignment vertical="center"/>
    </xf>
    <xf numFmtId="180" fontId="6" fillId="0" borderId="0" xfId="0" applyNumberFormat="1" applyFont="1" applyFill="1" applyBorder="1" applyAlignment="1">
      <alignment horizontal="right" vertical="center"/>
    </xf>
    <xf numFmtId="180" fontId="0" fillId="0" borderId="4" xfId="1" applyNumberFormat="1" applyFont="1" applyBorder="1">
      <alignment vertical="center"/>
    </xf>
    <xf numFmtId="0" fontId="0" fillId="0" borderId="4" xfId="0" applyFont="1" applyFill="1" applyBorder="1">
      <alignment vertical="center"/>
    </xf>
    <xf numFmtId="180" fontId="0" fillId="0" borderId="4" xfId="1" applyNumberFormat="1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180" fontId="4" fillId="0" borderId="7" xfId="1" applyNumberFormat="1" applyFont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2" applyNumberFormat="1" applyFont="1" applyFill="1" applyBorder="1">
      <alignment vertical="center"/>
    </xf>
    <xf numFmtId="180" fontId="4" fillId="0" borderId="0" xfId="1" applyNumberFormat="1" applyFont="1" applyFill="1" applyBorder="1">
      <alignment vertical="center"/>
    </xf>
    <xf numFmtId="176" fontId="4" fillId="0" borderId="0" xfId="2" applyNumberFormat="1" applyFont="1" applyFill="1" applyBorder="1">
      <alignment vertical="center"/>
    </xf>
    <xf numFmtId="180" fontId="0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10" fontId="0" fillId="0" borderId="4" xfId="2" applyNumberFormat="1" applyFont="1" applyFill="1" applyBorder="1">
      <alignment vertical="center"/>
    </xf>
    <xf numFmtId="10" fontId="4" fillId="0" borderId="7" xfId="2" applyNumberFormat="1" applyFont="1" applyBorder="1">
      <alignment vertical="center"/>
    </xf>
    <xf numFmtId="10" fontId="4" fillId="0" borderId="0" xfId="2" applyNumberFormat="1" applyFont="1" applyFill="1" applyBorder="1">
      <alignment vertical="center"/>
    </xf>
    <xf numFmtId="10" fontId="0" fillId="0" borderId="5" xfId="2" applyNumberFormat="1" applyFont="1" applyBorder="1">
      <alignment vertical="center"/>
    </xf>
    <xf numFmtId="10" fontId="0" fillId="0" borderId="5" xfId="2" applyNumberFormat="1" applyFont="1" applyFill="1" applyBorder="1">
      <alignment vertical="center"/>
    </xf>
    <xf numFmtId="10" fontId="4" fillId="0" borderId="8" xfId="2" applyNumberFormat="1" applyFont="1" applyBorder="1">
      <alignment vertical="center"/>
    </xf>
    <xf numFmtId="0" fontId="4" fillId="6" borderId="0" xfId="0" applyFont="1" applyFill="1">
      <alignment vertical="center"/>
    </xf>
    <xf numFmtId="180" fontId="4" fillId="6" borderId="0" xfId="1" applyNumberFormat="1" applyFont="1" applyFill="1">
      <alignment vertical="center"/>
    </xf>
    <xf numFmtId="10" fontId="4" fillId="6" borderId="0" xfId="2" applyNumberFormat="1" applyFont="1" applyFill="1">
      <alignment vertical="center"/>
    </xf>
    <xf numFmtId="180" fontId="4" fillId="6" borderId="0" xfId="0" applyNumberFormat="1" applyFont="1" applyFill="1">
      <alignment vertical="center"/>
    </xf>
    <xf numFmtId="0" fontId="4" fillId="6" borderId="0" xfId="0" applyFont="1" applyFill="1" applyBorder="1">
      <alignment vertical="center"/>
    </xf>
    <xf numFmtId="180" fontId="4" fillId="6" borderId="0" xfId="0" applyNumberFormat="1" applyFont="1" applyFill="1" applyBorder="1" applyAlignment="1">
      <alignment horizontal="right" vertical="center"/>
    </xf>
    <xf numFmtId="10" fontId="4" fillId="6" borderId="0" xfId="2" applyNumberFormat="1" applyFont="1" applyFill="1" applyBorder="1" applyAlignment="1">
      <alignment horizontal="right" vertical="center"/>
    </xf>
    <xf numFmtId="0" fontId="4" fillId="7" borderId="0" xfId="0" applyFont="1" applyFill="1" applyBorder="1">
      <alignment vertical="center"/>
    </xf>
    <xf numFmtId="43" fontId="4" fillId="7" borderId="0" xfId="0" applyNumberFormat="1" applyFont="1" applyFill="1" applyBorder="1">
      <alignment vertical="center"/>
    </xf>
    <xf numFmtId="10" fontId="4" fillId="7" borderId="0" xfId="2" applyNumberFormat="1" applyFont="1" applyFill="1" applyBorder="1">
      <alignment vertical="center"/>
    </xf>
    <xf numFmtId="10" fontId="4" fillId="7" borderId="0" xfId="0" applyNumberFormat="1" applyFont="1" applyFill="1" applyBorder="1">
      <alignment vertical="center"/>
    </xf>
    <xf numFmtId="10" fontId="7" fillId="0" borderId="0" xfId="2" applyNumberFormat="1" applyFont="1">
      <alignment vertical="center"/>
    </xf>
    <xf numFmtId="10" fontId="7" fillId="0" borderId="4" xfId="2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4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i/>
        <family val="3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numFmt numFmtId="13" formatCode="0%"/>
    </dxf>
    <dxf>
      <font>
        <b/>
        <family val="3"/>
      </font>
    </dxf>
    <dxf>
      <font>
        <b/>
        <family val="3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charset val="129"/>
        <scheme val="minor"/>
      </font>
      <numFmt numFmtId="180" formatCode="_-* #,##0.00_-;\-* #,##0.00_-;_-* &quot;-&quot;_-;_-@_-"/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</dxf>
    <dxf>
      <font>
        <b val="0"/>
        <family val="3"/>
      </font>
    </dxf>
    <dxf>
      <font>
        <b val="0"/>
        <family val="3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  <alignment horizontal="right" vertical="center" textRotation="0" wrapText="0" indent="0" justifyLastLine="0" shrinkToFit="0" readingOrder="0"/>
    </dxf>
    <dxf>
      <font>
        <i/>
        <family val="3"/>
      </font>
      <alignment horizontal="right" vertical="center" textRotation="0" wrapText="0" indent="0" justifyLastLine="0" shrinkToFit="0" readingOrder="0"/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</dxf>
    <dxf>
      <font>
        <i/>
        <family val="3"/>
      </font>
    </dxf>
    <dxf>
      <font>
        <i/>
        <family val="3"/>
      </font>
    </dxf>
    <dxf>
      <font>
        <i/>
        <family val="3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72C7C-8A2E-4FA4-8428-A326C25A2C68}" name="표1" displayName="표1" ref="A1:F6" totalsRowShown="0">
  <autoFilter ref="A1:F6" xr:uid="{8BA72C7C-8A2E-4FA4-8428-A326C25A2C68}"/>
  <tableColumns count="6">
    <tableColumn id="1" xr3:uid="{6C569380-0F2A-40D2-9A68-A5DFACE533AF}" name="Fee Tier"/>
    <tableColumn id="2" xr3:uid="{FB9B055C-6C71-437D-875A-5A94D3720E1D}" name="HOOATS Fee Rate" dataDxfId="46" dataCellStyle="백분율"/>
    <tableColumn id="3" xr3:uid="{1C724542-89B1-4216-AE2C-090638BF773B}" name="HOOATS Fee Distribution" dataDxfId="45"/>
    <tableColumn id="4" xr3:uid="{C3671F42-C5A5-4EE1-8DAE-47F2958855A2}" name="HOOATS Blended Fee Rate" dataDxfId="44"/>
    <tableColumn id="5" xr3:uid="{8C5D335A-F85C-450E-9753-0463744C3566}" name="C-R Rate" dataDxfId="43"/>
    <tableColumn id="6" xr3:uid="{48AEABFE-662D-4D2C-A84A-FFD04F2A1B92}" name="Partner Routing" dataDxfId="4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51FE6-9FDE-42D3-A8AE-19ED3930EAE4}" name="표2" displayName="표2" ref="A7:F9" totalsRowShown="0">
  <autoFilter ref="A7:F9" xr:uid="{21551FE6-9FDE-42D3-A8AE-19ED3930EAE4}"/>
  <tableColumns count="6">
    <tableColumn id="1" xr3:uid="{AADAA6CC-BB65-46EB-9178-926ED76235EC}" name="Categories"/>
    <tableColumn id="2" xr3:uid="{90473DE7-9390-4509-B4CA-6A3BC3D2E3B1}" name="L1" dataDxfId="41"/>
    <tableColumn id="3" xr3:uid="{04C22CD6-1E7D-46EB-B41B-4A9BDEA602C6}" name="L2" dataDxfId="40"/>
    <tableColumn id="4" xr3:uid="{5F4188BE-195C-4C04-90BC-6AED238AFDA2}" name="L3" dataDxfId="39"/>
    <tableColumn id="5" xr3:uid="{4EECC140-4221-45EB-99C2-4C9F890C23A8}" name="VS Theme" dataDxfId="38"/>
    <tableColumn id="6" xr3:uid="{42A8DC7C-8AB9-4D28-8881-49A67210BE24}" name="Partner Indices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11922-128A-4EC6-B973-1097F1EACF79}" name="표3" displayName="표3" ref="A17:E18" totalsRowShown="0" dataDxfId="36" dataCellStyle="백분율">
  <autoFilter ref="A17:E18" xr:uid="{D9D11922-128A-4EC6-B973-1097F1EACF79}"/>
  <tableColumns count="5">
    <tableColumn id="1" xr3:uid="{BFEFF985-BF99-4DC9-AD96-EA4DBBAEF0B4}" name="Categories"/>
    <tableColumn id="2" xr3:uid="{015A8A7C-9DCF-4244-904B-42F8FDFD2C07}" name="HOOATS - Orderbook Internal" dataDxfId="32" dataCellStyle="백분율">
      <calculatedColumnFormula>55%*65%</calculatedColumnFormula>
    </tableColumn>
    <tableColumn id="3" xr3:uid="{B439872F-C898-4381-9088-67F3372FFEE6}" name="HOOATS - AMM Internal" dataDxfId="33" dataCellStyle="백분율">
      <calculatedColumnFormula>55%*35%</calculatedColumnFormula>
    </tableColumn>
    <tableColumn id="4" xr3:uid="{571C47B9-1AD7-4D7A-A1A7-FD41FAAF4588}" name="C-R L3 - Internal" dataDxfId="35" dataCellStyle="백분율"/>
    <tableColumn id="5" xr3:uid="{B5DD529E-94F9-4FAB-BD00-90D896FC4D02}" name="Partner Routing" dataDxfId="34" dataCellStyle="백분율">
      <calculatedColumnFormula>20%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E32DC4-E39F-49A7-A607-84C50316BAC6}" name="표4" displayName="표4" ref="A10:F14" totalsRowShown="0" headerRowDxfId="31" dataDxfId="30">
  <autoFilter ref="A10:F14" xr:uid="{41E32DC4-E39F-49A7-A607-84C50316BAC6}"/>
  <tableColumns count="6">
    <tableColumn id="1" xr3:uid="{87C1F930-0BF2-4471-8DB7-3E70B4CB80D0}" name="Categories" dataDxfId="29"/>
    <tableColumn id="2" xr3:uid="{E342AB38-23D0-43B4-8528-25DF2C4D9BB0}" name="L1" dataDxfId="28"/>
    <tableColumn id="3" xr3:uid="{2AF2F69A-E06A-4F08-B575-566F9651F0B2}" name="L2" dataDxfId="27"/>
    <tableColumn id="4" xr3:uid="{C9EE3D01-79F9-4BF1-BF67-2A6735B494B9}" name="L3" dataDxfId="26"/>
    <tableColumn id="5" xr3:uid="{F3E668CC-332F-4AC5-B6F1-BFFB406808D0}" name="VS Theme" dataDxfId="25"/>
    <tableColumn id="6" xr3:uid="{20F5FDA0-4EE4-40CF-AC23-7D237257CF11}" name="Partner Indices" dataDxfId="2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7C8942-0B8D-4635-AC6C-476FC71C52B0}" name="표5" displayName="표5" ref="A15:F16" totalsRowShown="0" headerRowDxfId="16" dataDxfId="17" headerRowCellStyle="쉼표 [0]" dataCellStyle="쉼표 [0]">
  <autoFilter ref="A15:F16" xr:uid="{317C8942-0B8D-4635-AC6C-476FC71C52B0}"/>
  <tableColumns count="6">
    <tableColumn id="1" xr3:uid="{0C7576B1-7F28-44AF-A945-570558D4530E}" name="Categories" dataDxfId="23" dataCellStyle="쉼표 [0]"/>
    <tableColumn id="2" xr3:uid="{5B785FF3-1380-4701-AFE3-E38834DA58C1}" name="L1" dataDxfId="22" dataCellStyle="쉼표 [0]">
      <calculatedColumnFormula>B11*G5</calculatedColumnFormula>
    </tableColumn>
    <tableColumn id="3" xr3:uid="{BE336DD2-4AB0-46BC-9ED9-B595E87C248D}" name="L2" dataDxfId="21" dataCellStyle="쉼표 [0]">
      <calculatedColumnFormula>C11*G5</calculatedColumnFormula>
    </tableColumn>
    <tableColumn id="4" xr3:uid="{335D8D2F-0176-48B5-855B-A16EDDA73226}" name="L3" dataDxfId="20" dataCellStyle="쉼표 [0]">
      <calculatedColumnFormula>G2*D12</calculatedColumnFormula>
    </tableColumn>
    <tableColumn id="5" xr3:uid="{91D6965A-0A67-481E-AC61-3D6804EEF1A6}" name="VS Theme" dataDxfId="19" dataCellStyle="쉼표 [0]">
      <calculatedColumnFormula>G5*E11</calculatedColumnFormula>
    </tableColumn>
    <tableColumn id="6" xr3:uid="{7A5EF624-6365-4D25-894D-19E55F4265E7}" name="Partner Indices" dataDxfId="18" dataCellStyle="쉼표 [0]">
      <calculatedColumnFormula>G2*F12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8FB5FE-C827-4D9A-B763-D45A2BEB0324}" name="표6" displayName="표6" ref="A19:E20" totalsRowShown="0" headerRowDxfId="9" dataDxfId="10" headerRowCellStyle="쉼표 [0]" dataCellStyle="쉼표 [0]">
  <autoFilter ref="A19:E20" xr:uid="{E68FB5FE-C827-4D9A-B763-D45A2BEB0324}"/>
  <tableColumns count="5">
    <tableColumn id="1" xr3:uid="{0E290459-67AE-45C7-BD36-BA7E12BA7731}" name="Categories" dataDxfId="15" dataCellStyle="쉼표 [0]"/>
    <tableColumn id="2" xr3:uid="{6643F2C7-3793-4C7C-9228-958ECE5D2A48}" name="HOOATS - Orderbook Internal" dataDxfId="14" dataCellStyle="쉼표 [0]">
      <calculatedColumnFormula>G2*B18</calculatedColumnFormula>
    </tableColumn>
    <tableColumn id="3" xr3:uid="{8A3B3BAB-284D-46DF-8AA2-8E03712A6DCE}" name="HOOATS - AMM Internal" dataDxfId="13" dataCellStyle="쉼표 [0]">
      <calculatedColumnFormula>G2*C18</calculatedColumnFormula>
    </tableColumn>
    <tableColumn id="4" xr3:uid="{FE084EE1-AD7C-448B-866D-14DE89BFE37E}" name="C-R L3 - Internal" dataDxfId="12" dataCellStyle="쉼표 [0]">
      <calculatedColumnFormula>G2*D18</calculatedColumnFormula>
    </tableColumn>
    <tableColumn id="5" xr3:uid="{00EF1D28-ACC7-4C43-8E82-2F37A2F813A3}" name="Partner Routing" dataDxfId="11" dataCellStyle="쉼표 [0]">
      <calculatedColumnFormula>G2*E18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A87989-B94B-438E-965F-07CC2D8C0D82}" name="표7" displayName="표7" ref="G1:G5" totalsRowShown="0">
  <autoFilter ref="G1:G5" xr:uid="{58A87989-B94B-438E-965F-07CC2D8C0D82}"/>
  <tableColumns count="1">
    <tableColumn id="1" xr3:uid="{08211360-EC62-4AA8-83CC-F723B8AA1082}" name="GMV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4FE971-E677-43B9-8C6B-D69D37296C8C}" name="표10" displayName="표10" ref="A21:E43" totalsRowShown="0">
  <autoFilter ref="A21:E43" xr:uid="{8D4FE971-E677-43B9-8C6B-D69D37296C8C}"/>
  <tableColumns count="5">
    <tableColumn id="1" xr3:uid="{44349786-2400-4F98-9E23-7B52869D0CF7}" name="Category" dataDxfId="8"/>
    <tableColumn id="2" xr3:uid="{6E6B7759-BF16-4A5F-B9E9-3266EDD57D08}" name="Sub-Category"/>
    <tableColumn id="3" xr3:uid="{CE9B3F54-4065-4638-B019-E19D799559E0}" name="Amount (M)"/>
    <tableColumn id="4" xr3:uid="{2FDBCED9-2F96-4BCC-ABBA-8BDAB0A55B34}" name="Percentage Per Category"/>
    <tableColumn id="5" xr3:uid="{1C81CBE4-16AA-4AB3-9233-058774056304}" name="Percentage Per Total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2EF462-046F-4C6F-A64F-6FEB98AD8B89}" name="표1_12" displayName="표1_12" ref="A1:C6" totalsRowShown="0">
  <autoFilter ref="A1:C6" xr:uid="{952EF462-046F-4C6F-A64F-6FEB98AD8B89}"/>
  <tableColumns count="3">
    <tableColumn id="1" xr3:uid="{9B1B4587-0683-4C9B-9E17-6E54DE2D0E5D}" name="Referral Tier"/>
    <tableColumn id="2" xr3:uid="{867C0E0D-8E27-4953-89B4-528C108CB866}" name="Influencers/KOLs" dataDxfId="5" dataCellStyle="백분율"/>
    <tableColumn id="3" xr3:uid="{BD44E55C-C585-4C03-A2F9-0BFD57AB56CF}" name="Individuals" dataDxfId="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88E7F0C-EC07-46C7-A3C3-6A439D08C891}" name="표10_19" displayName="표10_19" ref="A30:E65" totalsRowShown="0">
  <autoFilter ref="A30:E65" xr:uid="{488E7F0C-EC07-46C7-A3C3-6A439D08C891}"/>
  <tableColumns count="5">
    <tableColumn id="1" xr3:uid="{4A4A3F85-B16B-4BDF-BF21-D5C08FB66482}" name="Category" dataDxfId="7"/>
    <tableColumn id="2" xr3:uid="{EA32024C-BEF2-4092-9738-DED7CCA5AA71}" name="Sub-Category"/>
    <tableColumn id="3" xr3:uid="{ADBA23F2-C1D7-4695-81BF-0F2DD68CB244}" name="Amount (M)"/>
    <tableColumn id="4" xr3:uid="{1DD980BD-C0BA-4F03-A62E-49CD4E27B0C9}" name="Percentage Per Category"/>
    <tableColumn id="5" xr3:uid="{F64F87B2-798A-43E4-B3C4-186679FCDA19}" name="Percentage Per Total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BEF66B-E79C-46C3-8182-DE543C05871C}" name="표19" displayName="표19" ref="A8:C16" totalsRowShown="0">
  <autoFilter ref="A8:C16" xr:uid="{2EBEF66B-E79C-46C3-8182-DE543C05871C}"/>
  <tableColumns count="3">
    <tableColumn id="1" xr3:uid="{45846490-BE09-42A1-BB8F-1C19B0667CA4}" name="Referral Tier"/>
    <tableColumn id="2" xr3:uid="{97792C57-CD76-4351-B195-2F492EE1766C}" name="Influencers/KOLs %" dataDxfId="6"/>
    <tableColumn id="3" xr3:uid="{4BFB203A-CB4D-4FE4-9AF6-FB4A65CF8571}" name="Individuals %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993285A-59ED-4B86-81AA-D08E6A6085F4}" name="표20" displayName="표20" ref="E1:F2" totalsRowShown="0">
  <autoFilter ref="E1:F2" xr:uid="{7993285A-59ED-4B86-81AA-D08E6A6085F4}"/>
  <tableColumns count="2">
    <tableColumn id="1" xr3:uid="{A4676720-5821-4D2C-BB91-86A32072C9BC}" name="Categories"/>
    <tableColumn id="2" xr3:uid="{7532D5AB-52ED-40C4-87A5-86EE956C772C}" name="% of Users" dataDxfId="3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978D38C-0E4D-4D93-9D46-9D369A30D31C}" name="표21" displayName="표21" ref="A18:C22" totalsRowShown="0">
  <autoFilter ref="A18:C22" xr:uid="{5978D38C-0E4D-4D93-9D46-9D369A30D31C}"/>
  <tableColumns count="3">
    <tableColumn id="1" xr3:uid="{C67B0B66-1E66-4C1D-973C-86840CEA38E5}" name="DEX Tiers"/>
    <tableColumn id="2" xr3:uid="{8A47B881-B85C-41FC-BA4A-E2BF432C6E33}" name="Partner DEX Revenue Share" dataDxfId="2"/>
    <tableColumn id="3" xr3:uid="{D1E06C18-A2C1-4541-985D-955A5095A87A}" name="Percentage" dataDxfId="1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A931DF9-BAA5-4FDD-B465-0E563BE532C5}" name="표22" displayName="표22" ref="A24:D28" totalsRowShown="0">
  <autoFilter ref="A24:D28" xr:uid="{DA931DF9-BAA5-4FDD-B465-0E563BE532C5}"/>
  <tableColumns count="4">
    <tableColumn id="1" xr3:uid="{0C58A29D-93CA-4B42-ACE5-1B07FF72EF02}" name="Single Event - Promoter Tier"/>
    <tableColumn id="2" xr3:uid="{EE978AAB-081B-4165-A711-1915FAE28AFF}" name="Influencers/KOLs(+Streamers) Performance Bonus" dataDxfId="0"/>
    <tableColumn id="3" xr3:uid="{16A8438D-A70B-4505-AF78-C76908D16F70}" name="Fixed Payment (K) If they gets Fixed Payments, their Tier gets down"/>
    <tableColumn id="4" xr3:uid="{F111CB32-3A1B-4FDB-8BA9-BC41A302C18F}" name="%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8FA6-342C-4FE8-BF51-88228D509AFA}">
  <dimension ref="A1:S43"/>
  <sheetViews>
    <sheetView topLeftCell="A6" zoomScale="65" workbookViewId="0">
      <selection activeCell="A42" sqref="A42"/>
    </sheetView>
  </sheetViews>
  <sheetFormatPr defaultRowHeight="17" x14ac:dyDescent="0.45"/>
  <cols>
    <col min="1" max="1" width="25.4140625" bestFit="1" customWidth="1"/>
    <col min="2" max="2" width="32" bestFit="1" customWidth="1"/>
    <col min="3" max="3" width="26.9140625" bestFit="1" customWidth="1"/>
    <col min="4" max="4" width="19.1640625" customWidth="1"/>
    <col min="5" max="5" width="18.58203125" customWidth="1"/>
    <col min="6" max="6" width="18.1640625" bestFit="1" customWidth="1"/>
    <col min="7" max="7" width="32" bestFit="1" customWidth="1"/>
    <col min="8" max="8" width="8.08203125" bestFit="1" customWidth="1"/>
    <col min="9" max="9" width="12.33203125" bestFit="1" customWidth="1"/>
    <col min="10" max="10" width="10.08203125" bestFit="1" customWidth="1"/>
    <col min="11" max="11" width="21.5" bestFit="1" customWidth="1"/>
    <col min="12" max="12" width="18.25" bestFit="1" customWidth="1"/>
    <col min="13" max="13" width="20" bestFit="1" customWidth="1"/>
    <col min="14" max="14" width="14.75" bestFit="1" customWidth="1"/>
  </cols>
  <sheetData>
    <row r="1" spans="1:19" x14ac:dyDescent="0.45">
      <c r="A1" t="s">
        <v>29</v>
      </c>
      <c r="B1" t="s">
        <v>22</v>
      </c>
      <c r="C1" t="s">
        <v>23</v>
      </c>
      <c r="D1" s="2" t="s">
        <v>34</v>
      </c>
      <c r="E1" t="s">
        <v>2</v>
      </c>
      <c r="F1" s="2" t="s">
        <v>3</v>
      </c>
      <c r="G1" t="s">
        <v>0</v>
      </c>
      <c r="M1" s="4"/>
      <c r="N1" s="4"/>
      <c r="O1" s="4"/>
      <c r="P1" s="4"/>
      <c r="Q1" s="5"/>
      <c r="R1" s="5"/>
      <c r="S1" s="5"/>
    </row>
    <row r="2" spans="1:19" x14ac:dyDescent="0.45">
      <c r="A2" t="s">
        <v>24</v>
      </c>
      <c r="B2" s="5">
        <f>0.6%</f>
        <v>6.0000000000000001E-3</v>
      </c>
      <c r="C2" s="6">
        <v>0.2</v>
      </c>
      <c r="D2" s="7">
        <f>B2*C2+B3*C3+B4*C4+B5*C5+B6*C6</f>
        <v>4.4749999999999998E-3</v>
      </c>
      <c r="E2" s="5">
        <v>5.0000000000000001E-3</v>
      </c>
      <c r="F2" s="5">
        <v>5.0000000000000001E-3</v>
      </c>
      <c r="G2">
        <f>100</f>
        <v>100</v>
      </c>
    </row>
    <row r="3" spans="1:19" x14ac:dyDescent="0.45">
      <c r="A3" t="s">
        <v>25</v>
      </c>
      <c r="B3" s="5">
        <v>5.0000000000000001E-3</v>
      </c>
      <c r="C3" s="6">
        <v>0.25</v>
      </c>
      <c r="D3" s="8"/>
      <c r="E3" s="8"/>
      <c r="F3" s="8"/>
      <c r="H3" s="2"/>
      <c r="J3" s="2"/>
      <c r="K3" s="2"/>
      <c r="L3" s="2"/>
    </row>
    <row r="4" spans="1:19" x14ac:dyDescent="0.45">
      <c r="A4" t="s">
        <v>26</v>
      </c>
      <c r="B4" s="5">
        <v>4.0000000000000001E-3</v>
      </c>
      <c r="C4" s="6">
        <v>0.3</v>
      </c>
      <c r="D4" s="8"/>
      <c r="E4" s="8"/>
      <c r="F4" s="8"/>
      <c r="G4" t="s">
        <v>16</v>
      </c>
      <c r="H4" s="2"/>
      <c r="J4" s="2"/>
      <c r="K4" s="2"/>
      <c r="L4" s="2"/>
    </row>
    <row r="5" spans="1:19" x14ac:dyDescent="0.45">
      <c r="A5" t="s">
        <v>27</v>
      </c>
      <c r="B5" s="5">
        <v>3.5000000000000001E-3</v>
      </c>
      <c r="C5" s="6">
        <v>0.15</v>
      </c>
      <c r="D5" s="8"/>
      <c r="E5" s="8"/>
      <c r="F5" s="8"/>
      <c r="G5">
        <f>G2*25%</f>
        <v>25</v>
      </c>
      <c r="H5" s="2"/>
      <c r="J5" s="2"/>
      <c r="K5" s="2"/>
      <c r="L5" s="2"/>
    </row>
    <row r="6" spans="1:19" x14ac:dyDescent="0.45">
      <c r="A6" t="s">
        <v>28</v>
      </c>
      <c r="B6" s="5">
        <v>3.0000000000000001E-3</v>
      </c>
      <c r="C6" s="6">
        <v>0.1</v>
      </c>
      <c r="D6" s="8"/>
      <c r="E6" s="8"/>
      <c r="F6" s="8"/>
    </row>
    <row r="7" spans="1:19" x14ac:dyDescent="0.45">
      <c r="A7" t="s">
        <v>36</v>
      </c>
      <c r="B7" t="s">
        <v>11</v>
      </c>
      <c r="C7" t="s">
        <v>12</v>
      </c>
      <c r="D7" t="s">
        <v>19</v>
      </c>
      <c r="E7" t="s">
        <v>14</v>
      </c>
      <c r="F7" t="s">
        <v>13</v>
      </c>
    </row>
    <row r="8" spans="1:19" x14ac:dyDescent="0.45">
      <c r="A8" t="s">
        <v>1</v>
      </c>
      <c r="B8" s="2">
        <f>0.1%</f>
        <v>1E-3</v>
      </c>
      <c r="C8" s="9">
        <v>1E-3</v>
      </c>
      <c r="D8" s="10" t="s">
        <v>37</v>
      </c>
      <c r="E8" s="9">
        <v>1E-3</v>
      </c>
      <c r="F8" s="9">
        <v>3.0000000000000001E-3</v>
      </c>
    </row>
    <row r="9" spans="1:19" x14ac:dyDescent="0.45">
      <c r="A9" t="s">
        <v>35</v>
      </c>
      <c r="B9" s="2">
        <v>7.0000000000000001E-3</v>
      </c>
      <c r="C9" s="2">
        <v>8.5000000000000006E-3</v>
      </c>
      <c r="D9" s="2">
        <v>0.01</v>
      </c>
      <c r="E9" s="2">
        <v>0.01</v>
      </c>
      <c r="F9" s="2">
        <v>5.0000000000000001E-3</v>
      </c>
    </row>
    <row r="10" spans="1:19" x14ac:dyDescent="0.45">
      <c r="A10" s="12" t="s">
        <v>36</v>
      </c>
      <c r="B10" s="12" t="s">
        <v>11</v>
      </c>
      <c r="C10" s="12" t="s">
        <v>12</v>
      </c>
      <c r="D10" s="12" t="s">
        <v>19</v>
      </c>
      <c r="E10" s="12" t="s">
        <v>14</v>
      </c>
      <c r="F10" s="12" t="s">
        <v>13</v>
      </c>
    </row>
    <row r="11" spans="1:19" x14ac:dyDescent="0.45">
      <c r="A11" s="12" t="s">
        <v>40</v>
      </c>
      <c r="B11" s="14">
        <f>20%/(25%+20%+10%)</f>
        <v>0.36363636363636365</v>
      </c>
      <c r="C11" s="14">
        <f>25%/(25%+20%+10%)</f>
        <v>0.45454545454545453</v>
      </c>
      <c r="D11" s="13" t="s">
        <v>37</v>
      </c>
      <c r="E11" s="15">
        <f>10%/(25%+20%+10%)</f>
        <v>0.18181818181818182</v>
      </c>
      <c r="F11" s="13" t="s">
        <v>37</v>
      </c>
    </row>
    <row r="12" spans="1:19" x14ac:dyDescent="0.45">
      <c r="A12" s="12" t="s">
        <v>42</v>
      </c>
      <c r="B12" s="13" t="s">
        <v>37</v>
      </c>
      <c r="C12" s="13" t="s">
        <v>37</v>
      </c>
      <c r="D12" s="14">
        <v>0.3</v>
      </c>
      <c r="E12" s="13" t="s">
        <v>37</v>
      </c>
      <c r="F12" s="14">
        <v>0.15</v>
      </c>
    </row>
    <row r="13" spans="1:19" x14ac:dyDescent="0.45">
      <c r="A13" s="12" t="s">
        <v>39</v>
      </c>
      <c r="B13" s="15">
        <v>1.25</v>
      </c>
      <c r="C13" s="15">
        <v>4</v>
      </c>
      <c r="D13" s="15">
        <v>25</v>
      </c>
      <c r="E13" s="15">
        <v>24.8</v>
      </c>
      <c r="F13" s="15">
        <v>20</v>
      </c>
    </row>
    <row r="14" spans="1:19" x14ac:dyDescent="0.45">
      <c r="A14" s="23" t="s">
        <v>52</v>
      </c>
      <c r="B14" s="24">
        <f>G5*B11/B13</f>
        <v>7.2727272727272734</v>
      </c>
      <c r="C14" s="24">
        <f>G5*C11/C13</f>
        <v>2.8409090909090908</v>
      </c>
      <c r="D14" s="24">
        <f>G2*D12/D13</f>
        <v>1.2</v>
      </c>
      <c r="E14" s="24">
        <f>G5*E11/E13</f>
        <v>0.18328445747800587</v>
      </c>
      <c r="F14" s="24">
        <f>G2*F12/F13</f>
        <v>0.75</v>
      </c>
    </row>
    <row r="15" spans="1:19" x14ac:dyDescent="0.45">
      <c r="A15" s="17" t="s">
        <v>36</v>
      </c>
      <c r="B15" s="17" t="s">
        <v>11</v>
      </c>
      <c r="C15" s="17" t="s">
        <v>12</v>
      </c>
      <c r="D15" s="17" t="s">
        <v>19</v>
      </c>
      <c r="E15" s="17" t="s">
        <v>14</v>
      </c>
      <c r="F15" s="17" t="s">
        <v>13</v>
      </c>
    </row>
    <row r="16" spans="1:19" x14ac:dyDescent="0.45">
      <c r="A16" s="17" t="s">
        <v>53</v>
      </c>
      <c r="B16" s="17">
        <f>B11*G5</f>
        <v>9.0909090909090917</v>
      </c>
      <c r="C16" s="17">
        <f>C11*G5</f>
        <v>11.363636363636363</v>
      </c>
      <c r="D16" s="17">
        <f>G2*D12</f>
        <v>30</v>
      </c>
      <c r="E16" s="17">
        <f>G5*E11</f>
        <v>4.5454545454545459</v>
      </c>
      <c r="F16" s="17">
        <f>G2*F12</f>
        <v>15</v>
      </c>
    </row>
    <row r="17" spans="1:5" x14ac:dyDescent="0.45">
      <c r="A17" t="s">
        <v>36</v>
      </c>
      <c r="B17" t="s">
        <v>43</v>
      </c>
      <c r="C17" t="s">
        <v>44</v>
      </c>
      <c r="D17" t="s">
        <v>41</v>
      </c>
      <c r="E17" t="s">
        <v>3</v>
      </c>
    </row>
    <row r="18" spans="1:5" ht="17.5" thickBot="1" x14ac:dyDescent="0.5">
      <c r="A18" t="s">
        <v>38</v>
      </c>
      <c r="B18" s="5">
        <f t="shared" ref="B18" si="0">55%*65%</f>
        <v>0.35750000000000004</v>
      </c>
      <c r="C18" s="5">
        <f t="shared" ref="C18" si="1">55%*35%</f>
        <v>0.1925</v>
      </c>
      <c r="D18" s="5">
        <v>0.25</v>
      </c>
      <c r="E18" s="5">
        <f>20%</f>
        <v>0.2</v>
      </c>
    </row>
    <row r="19" spans="1:5" ht="17.5" thickBot="1" x14ac:dyDescent="0.5">
      <c r="A19" s="17" t="s">
        <v>36</v>
      </c>
      <c r="B19" s="18" t="s">
        <v>43</v>
      </c>
      <c r="C19" s="18" t="s">
        <v>44</v>
      </c>
      <c r="D19" s="18" t="s">
        <v>41</v>
      </c>
      <c r="E19" s="18" t="s">
        <v>3</v>
      </c>
    </row>
    <row r="20" spans="1:5" x14ac:dyDescent="0.45">
      <c r="A20" s="17" t="s">
        <v>54</v>
      </c>
      <c r="B20" s="17">
        <f>G2*B18</f>
        <v>35.750000000000007</v>
      </c>
      <c r="C20" s="17">
        <f>G2*C18</f>
        <v>19.25</v>
      </c>
      <c r="D20" s="17">
        <f>G2*D18</f>
        <v>25</v>
      </c>
      <c r="E20" s="17">
        <f>G2*E18</f>
        <v>20</v>
      </c>
    </row>
    <row r="21" spans="1:5" x14ac:dyDescent="0.45">
      <c r="A21" t="s">
        <v>7</v>
      </c>
      <c r="B21" t="s">
        <v>48</v>
      </c>
      <c r="C21" t="s">
        <v>8</v>
      </c>
      <c r="D21" t="s">
        <v>49</v>
      </c>
      <c r="E21" t="s">
        <v>50</v>
      </c>
    </row>
    <row r="22" spans="1:5" x14ac:dyDescent="0.45">
      <c r="A22" s="11" t="s">
        <v>4</v>
      </c>
    </row>
    <row r="23" spans="1:5" x14ac:dyDescent="0.45">
      <c r="A23" s="11"/>
      <c r="B23" t="s">
        <v>5</v>
      </c>
      <c r="C23" s="16" cm="1">
        <f t="array" ref="C23">표6[HOOATS - Orderbook Internal]*D2*1000</f>
        <v>159.98125000000002</v>
      </c>
      <c r="D23" s="1">
        <f>C23/C27</f>
        <v>0.33957283098965246</v>
      </c>
      <c r="E23" s="1">
        <f>C23/C43</f>
        <v>0.21059407827752766</v>
      </c>
    </row>
    <row r="24" spans="1:5" x14ac:dyDescent="0.45">
      <c r="A24" s="11"/>
      <c r="B24" t="s">
        <v>21</v>
      </c>
      <c r="C24" s="16" cm="1">
        <f t="array" ref="C24">D2*표6[HOOATS - AMM Internal]*1000</f>
        <v>86.143749999999997</v>
      </c>
      <c r="D24" s="1">
        <f>C24/C27</f>
        <v>0.18284690899442824</v>
      </c>
      <c r="E24" s="1">
        <f>C24/C43</f>
        <v>0.11339681138020719</v>
      </c>
    </row>
    <row r="25" spans="1:5" x14ac:dyDescent="0.45">
      <c r="A25" s="11"/>
      <c r="B25" t="s">
        <v>6</v>
      </c>
      <c r="C25" s="16" cm="1">
        <f t="array" ref="C25">표6[C-R L3 - Internal]*E2*1000</f>
        <v>125</v>
      </c>
      <c r="D25" s="1">
        <f>C25/C27</f>
        <v>0.26532236667551073</v>
      </c>
      <c r="E25" s="1">
        <f>C25/C43</f>
        <v>0.1645459063777221</v>
      </c>
    </row>
    <row r="26" spans="1:5" x14ac:dyDescent="0.45">
      <c r="A26" s="11"/>
      <c r="B26" t="s">
        <v>3</v>
      </c>
      <c r="C26" s="16" cm="1">
        <f t="array" ref="C26">F2*1000*표6[Partner Routing]</f>
        <v>100</v>
      </c>
      <c r="D26" s="1">
        <f>C26/C27</f>
        <v>0.21225789334040859</v>
      </c>
      <c r="E26" s="1">
        <f>C26/C43</f>
        <v>0.13163672510217769</v>
      </c>
    </row>
    <row r="27" spans="1:5" x14ac:dyDescent="0.45">
      <c r="A27" s="11"/>
      <c r="B27" s="11" t="s">
        <v>9</v>
      </c>
      <c r="C27" s="21">
        <f>SUM(C23:C26)</f>
        <v>471.125</v>
      </c>
      <c r="D27" s="22"/>
      <c r="E27" s="22">
        <f>C27/C43</f>
        <v>0.62017352113763458</v>
      </c>
    </row>
    <row r="28" spans="1:5" x14ac:dyDescent="0.45">
      <c r="A28" s="11" t="s">
        <v>10</v>
      </c>
      <c r="C28" s="16"/>
      <c r="D28" s="19"/>
      <c r="E28" s="1">
        <f>C28/C43</f>
        <v>0</v>
      </c>
    </row>
    <row r="29" spans="1:5" x14ac:dyDescent="0.45">
      <c r="A29" s="11"/>
      <c r="B29" t="s">
        <v>11</v>
      </c>
      <c r="C29" s="16">
        <f>B14*B8*12*1000</f>
        <v>87.27272727272728</v>
      </c>
      <c r="D29" s="1">
        <f>C29/C33</f>
        <v>0.45242058696098325</v>
      </c>
      <c r="E29" s="1">
        <f>C29/C43</f>
        <v>0.11488296008917326</v>
      </c>
    </row>
    <row r="30" spans="1:5" x14ac:dyDescent="0.45">
      <c r="A30" s="11"/>
      <c r="B30" t="s">
        <v>12</v>
      </c>
      <c r="C30" s="16">
        <f>C8*C14*26*1000</f>
        <v>73.863636363636374</v>
      </c>
      <c r="D30" s="1">
        <f>C30/C33</f>
        <v>0.38290804886020718</v>
      </c>
      <c r="E30" s="1">
        <f>C30/C43</f>
        <v>9.7231671950472165E-2</v>
      </c>
    </row>
    <row r="31" spans="1:5" x14ac:dyDescent="0.45">
      <c r="A31" s="11"/>
      <c r="B31" t="s">
        <v>13</v>
      </c>
      <c r="C31" s="16">
        <f>F14*F8*12*1000</f>
        <v>27.000000000000004</v>
      </c>
      <c r="D31" s="1">
        <f>C31/C33</f>
        <v>0.13996761909105421</v>
      </c>
      <c r="E31" s="1">
        <f>C31/C43</f>
        <v>3.554191577758798E-2</v>
      </c>
    </row>
    <row r="32" spans="1:5" x14ac:dyDescent="0.45">
      <c r="A32" s="11"/>
      <c r="B32" t="s">
        <v>14</v>
      </c>
      <c r="C32" s="16">
        <f>E8*26*1000*E14</f>
        <v>4.7653958944281536</v>
      </c>
      <c r="D32" s="1">
        <f>C32/C33</f>
        <v>2.4703745087755306E-2</v>
      </c>
      <c r="E32" s="1">
        <f>C32/C43</f>
        <v>6.2730110935788497E-3</v>
      </c>
    </row>
    <row r="33" spans="1:5" x14ac:dyDescent="0.45">
      <c r="A33" s="11"/>
      <c r="B33" s="11" t="s">
        <v>15</v>
      </c>
      <c r="C33" s="21">
        <f>SUM(C29:C32)</f>
        <v>192.90175953079182</v>
      </c>
      <c r="D33" s="22"/>
      <c r="E33" s="22">
        <f>C33/C43</f>
        <v>0.25392955891081226</v>
      </c>
    </row>
    <row r="34" spans="1:5" x14ac:dyDescent="0.45">
      <c r="A34" s="11" t="s">
        <v>17</v>
      </c>
      <c r="C34" s="16"/>
      <c r="D34" s="1"/>
      <c r="E34" s="1"/>
    </row>
    <row r="35" spans="1:5" x14ac:dyDescent="0.45">
      <c r="A35" s="11"/>
      <c r="B35" t="s">
        <v>11</v>
      </c>
      <c r="C35" s="16">
        <f>B9*B14*1000</f>
        <v>50.909090909090921</v>
      </c>
      <c r="D35" s="1">
        <f>C35/C40</f>
        <v>0.54953881948868533</v>
      </c>
      <c r="E35" s="1">
        <f>C35/C43</f>
        <v>6.7015060052017753E-2</v>
      </c>
    </row>
    <row r="36" spans="1:5" x14ac:dyDescent="0.45">
      <c r="A36" s="11"/>
      <c r="B36" t="s">
        <v>12</v>
      </c>
      <c r="C36" s="16">
        <f>C14*C9*1000</f>
        <v>24.147727272727273</v>
      </c>
      <c r="D36" s="1">
        <f>C36/C40</f>
        <v>0.26066294451193212</v>
      </c>
      <c r="E36" s="1">
        <f>C36/C43</f>
        <v>3.1787277368423593E-2</v>
      </c>
    </row>
    <row r="37" spans="1:5" x14ac:dyDescent="0.45">
      <c r="A37" s="11"/>
      <c r="B37" t="s">
        <v>14</v>
      </c>
      <c r="C37" s="16">
        <f>E9*E14*1000</f>
        <v>1.8328445747800588</v>
      </c>
      <c r="D37" s="1">
        <f>C37/C40</f>
        <v>1.978466372007075E-2</v>
      </c>
      <c r="E37" s="1">
        <f>C37/C43</f>
        <v>2.4126965744534034E-3</v>
      </c>
    </row>
    <row r="38" spans="1:5" x14ac:dyDescent="0.45">
      <c r="A38" s="11"/>
      <c r="B38" t="s">
        <v>18</v>
      </c>
      <c r="C38" s="16">
        <f>F9*F14*1000</f>
        <v>3.75</v>
      </c>
      <c r="D38" s="1">
        <f>C38/C40</f>
        <v>4.0479421971264751E-2</v>
      </c>
      <c r="E38" s="1">
        <f>C38/C43</f>
        <v>4.9363771913316637E-3</v>
      </c>
    </row>
    <row r="39" spans="1:5" x14ac:dyDescent="0.45">
      <c r="A39" s="11"/>
      <c r="B39" t="s">
        <v>19</v>
      </c>
      <c r="C39" s="16">
        <f>D9*D14*1000</f>
        <v>12</v>
      </c>
      <c r="D39" s="1">
        <f>C39/C40</f>
        <v>0.12953415030804721</v>
      </c>
      <c r="E39" s="1">
        <f>C39/C43</f>
        <v>1.5796407012261322E-2</v>
      </c>
    </row>
    <row r="40" spans="1:5" x14ac:dyDescent="0.45">
      <c r="A40" s="11"/>
      <c r="B40" s="11" t="s">
        <v>46</v>
      </c>
      <c r="C40" s="21">
        <f>SUM(C35:C39)</f>
        <v>92.639662756598241</v>
      </c>
      <c r="D40" s="22"/>
      <c r="E40" s="22">
        <f>C40/C43</f>
        <v>0.12194781819848771</v>
      </c>
    </row>
    <row r="41" spans="1:5" x14ac:dyDescent="0.45">
      <c r="A41" s="11" t="s">
        <v>20</v>
      </c>
      <c r="C41" s="16"/>
      <c r="D41" s="1"/>
      <c r="E41" s="1"/>
    </row>
    <row r="42" spans="1:5" x14ac:dyDescent="0.45">
      <c r="A42" s="11"/>
      <c r="B42" s="11" t="s">
        <v>51</v>
      </c>
      <c r="C42" s="21">
        <v>3</v>
      </c>
      <c r="D42" s="22"/>
      <c r="E42" s="22">
        <f>C42/C43</f>
        <v>3.9491017530653306E-3</v>
      </c>
    </row>
    <row r="43" spans="1:5" x14ac:dyDescent="0.45">
      <c r="A43" s="25" t="s">
        <v>47</v>
      </c>
      <c r="B43" s="25"/>
      <c r="C43" s="26">
        <f>C42+C40+C33+C27</f>
        <v>759.66642228739011</v>
      </c>
      <c r="D43" s="27"/>
      <c r="E43" s="27">
        <f>SUM(E42+E40+E33+E27)</f>
        <v>0.99999999999999989</v>
      </c>
    </row>
  </sheetData>
  <phoneticPr fontId="3" type="noConversion"/>
  <conditionalFormatting sqref="B23:C27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{7B058656-807D-4415-A33D-E0C80F2A6492}</x14:id>
        </ext>
      </extLst>
    </cfRule>
  </conditionalFormatting>
  <conditionalFormatting sqref="B29:C33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{5B383161-4F0D-4229-831B-961FB14B0167}</x14:id>
        </ext>
      </extLst>
    </cfRule>
  </conditionalFormatting>
  <conditionalFormatting sqref="B35:C40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{317C4B57-BA88-4F1A-994D-4B683C60FAC6}</x14:id>
        </ext>
      </extLst>
    </cfRule>
  </conditionalFormatting>
  <conditionalFormatting sqref="B42:C4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{EC97033E-DC43-4F2E-B63F-8C8A7019A749}</x14:id>
        </ext>
      </extLst>
    </cfRule>
  </conditionalFormatting>
  <conditionalFormatting sqref="E23:E43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{77CEB430-02A3-4C99-A5AE-04CB5A363387}</x14:id>
        </ext>
      </extLst>
    </cfRule>
  </conditionalFormatting>
  <conditionalFormatting sqref="A13:F1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{B26165A1-74D1-4A96-8A37-E8F8E5703D8A}</x14:id>
        </ext>
      </extLst>
    </cfRule>
  </conditionalFormatting>
  <conditionalFormatting sqref="B14:F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{6C6ACF7C-C5CA-41C6-8FD9-FB3B08352144}</x14:id>
        </ext>
      </extLst>
    </cfRule>
  </conditionalFormatting>
  <conditionalFormatting sqref="B11:C11 D12 E11 F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{1F13657A-87AA-4489-9BEB-ECB174DCE7C7}</x14:id>
        </ext>
      </extLst>
    </cfRule>
  </conditionalFormatting>
  <conditionalFormatting sqref="B16:F1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{3F8FF7E3-DC21-4BA1-B634-7388ACE67C8E}</x14:id>
        </ext>
      </extLst>
    </cfRule>
  </conditionalFormatting>
  <conditionalFormatting sqref="B18:E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{73B62DB5-AF59-4AA3-9386-FF5AEE17F778}</x14:id>
        </ext>
      </extLst>
    </cfRule>
  </conditionalFormatting>
  <conditionalFormatting sqref="B20:E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{E4B170AE-0831-4177-8FEE-FE272C42F729}</x14:id>
        </ext>
      </extLst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058656-807D-4415-A33D-E0C80F2A64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B23:C27</xm:sqref>
        </x14:conditionalFormatting>
        <x14:conditionalFormatting xmlns:xm="http://schemas.microsoft.com/office/excel/2006/main">
          <x14:cfRule type="dataBar" id="{5B383161-4F0D-4229-831B-961FB14B01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B29:C33</xm:sqref>
        </x14:conditionalFormatting>
        <x14:conditionalFormatting xmlns:xm="http://schemas.microsoft.com/office/excel/2006/main">
          <x14:cfRule type="dataBar" id="{317C4B57-BA88-4F1A-994D-4B683C60FA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B35:C40</xm:sqref>
        </x14:conditionalFormatting>
        <x14:conditionalFormatting xmlns:xm="http://schemas.microsoft.com/office/excel/2006/main">
          <x14:cfRule type="dataBar" id="{EC97033E-DC43-4F2E-B63F-8C8A7019A7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B42:C42</xm:sqref>
        </x14:conditionalFormatting>
        <x14:conditionalFormatting xmlns:xm="http://schemas.microsoft.com/office/excel/2006/main">
          <x14:cfRule type="dataBar" id="{77CEB430-02A3-4C99-A5AE-04CB5A3633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E23:E43</xm:sqref>
        </x14:conditionalFormatting>
        <x14:conditionalFormatting xmlns:xm="http://schemas.microsoft.com/office/excel/2006/main">
          <x14:cfRule type="dataBar" id="{B26165A1-74D1-4A96-8A37-E8F8E5703D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A13:F13</xm:sqref>
        </x14:conditionalFormatting>
        <x14:conditionalFormatting xmlns:xm="http://schemas.microsoft.com/office/excel/2006/main">
          <x14:cfRule type="dataBar" id="{6C6ACF7C-C5CA-41C6-8FD9-FB3B083521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B14:F14</xm:sqref>
        </x14:conditionalFormatting>
        <x14:conditionalFormatting xmlns:xm="http://schemas.microsoft.com/office/excel/2006/main">
          <x14:cfRule type="dataBar" id="{1F13657A-87AA-4489-9BEB-ECB174DCE7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B11:C11 D12 E11 F12</xm:sqref>
        </x14:conditionalFormatting>
        <x14:conditionalFormatting xmlns:xm="http://schemas.microsoft.com/office/excel/2006/main">
          <x14:cfRule type="dataBar" id="{3F8FF7E3-DC21-4BA1-B634-7388ACE67C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B16:F16</xm:sqref>
        </x14:conditionalFormatting>
        <x14:conditionalFormatting xmlns:xm="http://schemas.microsoft.com/office/excel/2006/main">
          <x14:cfRule type="dataBar" id="{73B62DB5-AF59-4AA3-9386-FF5AEE17F7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B18:E18</xm:sqref>
        </x14:conditionalFormatting>
        <x14:conditionalFormatting xmlns:xm="http://schemas.microsoft.com/office/excel/2006/main">
          <x14:cfRule type="dataBar" id="{E4B170AE-0831-4177-8FEE-FE272C42F7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B20:E20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AB91-B535-41A1-B54E-34D4A6F37BD4}">
  <dimension ref="A1:W77"/>
  <sheetViews>
    <sheetView tabSelected="1" topLeftCell="A25" zoomScale="63" zoomScaleNormal="57" workbookViewId="0">
      <selection activeCell="F44" sqref="F44"/>
    </sheetView>
  </sheetViews>
  <sheetFormatPr defaultRowHeight="17" x14ac:dyDescent="0.45"/>
  <cols>
    <col min="1" max="1" width="27.08203125" bestFit="1" customWidth="1"/>
    <col min="2" max="2" width="46.6640625" bestFit="1" customWidth="1"/>
    <col min="3" max="3" width="63.5" bestFit="1" customWidth="1"/>
    <col min="4" max="4" width="12.25" bestFit="1" customWidth="1"/>
    <col min="5" max="5" width="22.58203125" bestFit="1" customWidth="1"/>
    <col min="6" max="6" width="18.5" bestFit="1" customWidth="1"/>
    <col min="7" max="7" width="31.75" bestFit="1" customWidth="1"/>
    <col min="10" max="10" width="33.83203125" bestFit="1" customWidth="1"/>
    <col min="11" max="11" width="22.58203125" customWidth="1"/>
    <col min="12" max="12" width="13.5" customWidth="1"/>
    <col min="13" max="13" width="8.83203125" customWidth="1"/>
  </cols>
  <sheetData>
    <row r="1" spans="1:23" x14ac:dyDescent="0.45">
      <c r="A1" t="s">
        <v>55</v>
      </c>
      <c r="B1" t="s">
        <v>69</v>
      </c>
      <c r="C1" t="s">
        <v>56</v>
      </c>
      <c r="E1" t="s">
        <v>36</v>
      </c>
      <c r="F1" t="s">
        <v>67</v>
      </c>
    </row>
    <row r="2" spans="1:23" x14ac:dyDescent="0.45">
      <c r="A2" t="s">
        <v>57</v>
      </c>
      <c r="B2" s="5">
        <v>0.7</v>
      </c>
      <c r="C2" s="6">
        <v>0.5</v>
      </c>
      <c r="E2" t="s">
        <v>68</v>
      </c>
      <c r="F2" s="3">
        <v>0.7</v>
      </c>
    </row>
    <row r="3" spans="1:23" ht="17.5" thickBot="1" x14ac:dyDescent="0.5">
      <c r="A3" t="s">
        <v>58</v>
      </c>
      <c r="B3" s="5">
        <v>0.75</v>
      </c>
      <c r="C3" s="6">
        <v>0.55000000000000004</v>
      </c>
    </row>
    <row r="4" spans="1:23" ht="17.5" thickBot="1" x14ac:dyDescent="0.5">
      <c r="A4" t="s">
        <v>59</v>
      </c>
      <c r="B4" s="5">
        <v>0.8</v>
      </c>
      <c r="C4" s="6">
        <v>0.6</v>
      </c>
      <c r="E4" s="35" t="s">
        <v>71</v>
      </c>
      <c r="F4" s="36" cm="1">
        <f t="array" ref="F4">표20[% of Users]*B16</f>
        <v>0.46112500000000001</v>
      </c>
    </row>
    <row r="5" spans="1:23" x14ac:dyDescent="0.45">
      <c r="A5" t="s">
        <v>60</v>
      </c>
      <c r="B5" s="5">
        <v>0.85</v>
      </c>
      <c r="C5" s="6"/>
    </row>
    <row r="6" spans="1:23" x14ac:dyDescent="0.45">
      <c r="A6" t="s">
        <v>61</v>
      </c>
      <c r="B6" s="5">
        <v>0.9</v>
      </c>
      <c r="C6" s="6"/>
      <c r="G6" s="3"/>
    </row>
    <row r="8" spans="1:23" x14ac:dyDescent="0.45">
      <c r="A8" t="s">
        <v>55</v>
      </c>
      <c r="B8" t="s">
        <v>70</v>
      </c>
      <c r="C8" t="s">
        <v>63</v>
      </c>
      <c r="L8" s="3"/>
    </row>
    <row r="9" spans="1:23" x14ac:dyDescent="0.45">
      <c r="A9" t="s">
        <v>57</v>
      </c>
      <c r="B9" s="3">
        <v>0.35</v>
      </c>
      <c r="C9" s="3">
        <v>0.5</v>
      </c>
    </row>
    <row r="10" spans="1:23" x14ac:dyDescent="0.45">
      <c r="A10" t="s">
        <v>58</v>
      </c>
      <c r="B10" s="3">
        <v>0.3</v>
      </c>
      <c r="C10" s="3">
        <v>0.3</v>
      </c>
    </row>
    <row r="11" spans="1:23" x14ac:dyDescent="0.45">
      <c r="A11" t="s">
        <v>59</v>
      </c>
      <c r="B11" s="3">
        <v>0.2</v>
      </c>
      <c r="C11" s="3">
        <v>0.2</v>
      </c>
    </row>
    <row r="12" spans="1:23" x14ac:dyDescent="0.45">
      <c r="A12" t="s">
        <v>60</v>
      </c>
      <c r="B12" s="3">
        <v>0.1</v>
      </c>
      <c r="C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3" x14ac:dyDescent="0.45">
      <c r="A13" t="s">
        <v>61</v>
      </c>
      <c r="B13" s="3">
        <v>0.05</v>
      </c>
      <c r="C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45">
      <c r="A14" s="29" t="s">
        <v>64</v>
      </c>
      <c r="B14" s="30" cm="1">
        <f t="array" ref="B14">SUM(B9:B13*표1_12[Influencers/KOLs])</f>
        <v>0.76</v>
      </c>
      <c r="C14" s="31" cm="1">
        <f t="array" ref="C14">SUM(C9:C11*C2:C4)</f>
        <v>0.53500000000000003</v>
      </c>
      <c r="I14" s="3"/>
      <c r="M14" s="3"/>
      <c r="R14" s="3"/>
    </row>
    <row r="15" spans="1:23" x14ac:dyDescent="0.45">
      <c r="A15" t="s">
        <v>65</v>
      </c>
      <c r="B15" s="3">
        <v>0.55000000000000004</v>
      </c>
      <c r="C15" s="3">
        <v>0.45</v>
      </c>
    </row>
    <row r="16" spans="1:23" x14ac:dyDescent="0.45">
      <c r="A16" s="33" t="s">
        <v>66</v>
      </c>
      <c r="B16" s="34" cm="1">
        <f t="array" ref="B16">SUM(B14:C14*B15:C15)</f>
        <v>0.65875000000000006</v>
      </c>
      <c r="C16" s="34"/>
    </row>
    <row r="18" spans="1:11" x14ac:dyDescent="0.45">
      <c r="A18" t="s">
        <v>72</v>
      </c>
      <c r="B18" t="s">
        <v>73</v>
      </c>
      <c r="C18" t="s">
        <v>45</v>
      </c>
    </row>
    <row r="19" spans="1:11" x14ac:dyDescent="0.45">
      <c r="A19" t="s">
        <v>75</v>
      </c>
      <c r="B19" s="3">
        <v>0.5</v>
      </c>
      <c r="C19" s="3">
        <v>0.6</v>
      </c>
      <c r="H19" s="1"/>
    </row>
    <row r="20" spans="1:11" x14ac:dyDescent="0.45">
      <c r="A20" t="s">
        <v>74</v>
      </c>
      <c r="B20" s="3">
        <v>0.55000000000000004</v>
      </c>
      <c r="C20" s="3">
        <v>0.25</v>
      </c>
    </row>
    <row r="21" spans="1:11" x14ac:dyDescent="0.45">
      <c r="A21" t="s">
        <v>76</v>
      </c>
      <c r="B21" s="3">
        <v>0.6</v>
      </c>
      <c r="C21" s="3">
        <v>0.15</v>
      </c>
    </row>
    <row r="22" spans="1:11" x14ac:dyDescent="0.45">
      <c r="A22" s="33" t="s">
        <v>64</v>
      </c>
      <c r="B22" s="37" cm="1">
        <f t="array" ref="B22">SUM(B19:B21*C19:C21)</f>
        <v>0.52749999999999997</v>
      </c>
      <c r="C22" s="38"/>
    </row>
    <row r="24" spans="1:11" x14ac:dyDescent="0.45">
      <c r="A24" t="s">
        <v>80</v>
      </c>
      <c r="B24" t="s">
        <v>81</v>
      </c>
      <c r="C24" t="s">
        <v>82</v>
      </c>
      <c r="D24" t="s">
        <v>62</v>
      </c>
    </row>
    <row r="25" spans="1:11" x14ac:dyDescent="0.45">
      <c r="A25" t="s">
        <v>77</v>
      </c>
      <c r="B25" s="3">
        <v>0.8</v>
      </c>
      <c r="C25">
        <v>0</v>
      </c>
      <c r="D25" s="3">
        <v>0.8</v>
      </c>
    </row>
    <row r="26" spans="1:11" x14ac:dyDescent="0.45">
      <c r="A26" t="s">
        <v>78</v>
      </c>
      <c r="B26" s="3">
        <v>0.85</v>
      </c>
      <c r="C26">
        <v>15</v>
      </c>
      <c r="D26" s="3">
        <v>0.15</v>
      </c>
    </row>
    <row r="27" spans="1:11" x14ac:dyDescent="0.45">
      <c r="A27" t="s">
        <v>79</v>
      </c>
      <c r="B27" s="3">
        <v>0.95</v>
      </c>
      <c r="C27">
        <v>30</v>
      </c>
      <c r="D27" s="3">
        <v>0.05</v>
      </c>
    </row>
    <row r="28" spans="1:11" x14ac:dyDescent="0.45">
      <c r="A28" s="39" t="s">
        <v>64</v>
      </c>
      <c r="B28" s="39" cm="1">
        <f t="array" ref="B28">SUM(B25:B27*D25:D27)</f>
        <v>0.81500000000000006</v>
      </c>
      <c r="C28" s="39"/>
      <c r="D28" s="39"/>
    </row>
    <row r="30" spans="1:11" x14ac:dyDescent="0.45">
      <c r="A30" t="s">
        <v>7</v>
      </c>
      <c r="B30" t="s">
        <v>48</v>
      </c>
      <c r="C30" t="s">
        <v>8</v>
      </c>
      <c r="D30" t="s">
        <v>49</v>
      </c>
      <c r="E30" t="s">
        <v>50</v>
      </c>
      <c r="K30" s="28"/>
    </row>
    <row r="31" spans="1:11" x14ac:dyDescent="0.45">
      <c r="A31" s="11" t="s">
        <v>83</v>
      </c>
      <c r="E31" s="2"/>
    </row>
    <row r="32" spans="1:11" x14ac:dyDescent="0.45">
      <c r="A32" s="11"/>
      <c r="B32" t="s">
        <v>85</v>
      </c>
      <c r="C32" s="17">
        <f>(Revenue!C23+Revenue!C24+Revenue!C25)*F4</f>
        <v>171.13501562499999</v>
      </c>
      <c r="D32" s="81">
        <f>C32/C37</f>
        <v>0.72627158222253285</v>
      </c>
      <c r="E32" s="2">
        <f>C32/C65</f>
        <v>0.68605666557665379</v>
      </c>
    </row>
    <row r="33" spans="1:6" x14ac:dyDescent="0.45">
      <c r="A33" s="11"/>
      <c r="B33" t="s">
        <v>84</v>
      </c>
      <c r="C33" s="17">
        <f>Revenue!C26*Expense!B22</f>
        <v>52.75</v>
      </c>
      <c r="D33" s="81">
        <f>C33/C37</f>
        <v>0.22386316337614562</v>
      </c>
      <c r="E33" s="2">
        <f>표10_19[[#This Row],[Amount (M)]]/C65</f>
        <v>0.21146747190807982</v>
      </c>
    </row>
    <row r="34" spans="1:6" x14ac:dyDescent="0.45">
      <c r="A34" s="11"/>
      <c r="B34" t="s">
        <v>86</v>
      </c>
      <c r="C34" s="17">
        <f>SUM(D26*C26+D27*C27)*400*55%/100</f>
        <v>8.2500000000000018</v>
      </c>
      <c r="D34" s="2">
        <f>C34/C37</f>
        <v>3.5011774366885344E-2</v>
      </c>
      <c r="E34" s="2">
        <f>표10_19[[#This Row],[Amount (M)]]/C65</f>
        <v>3.3073111720221024E-2</v>
      </c>
    </row>
    <row r="35" spans="1:6" x14ac:dyDescent="0.45">
      <c r="A35" s="11"/>
      <c r="B35" t="s">
        <v>95</v>
      </c>
      <c r="C35">
        <v>2</v>
      </c>
      <c r="D35" s="2">
        <f>C35/C37</f>
        <v>8.487702876820687E-3</v>
      </c>
      <c r="E35" s="2">
        <f>표10_19[[#This Row],[Amount (M)]]/C65</f>
        <v>8.0177240533869133E-3</v>
      </c>
    </row>
    <row r="36" spans="1:6" x14ac:dyDescent="0.45">
      <c r="A36" s="11"/>
      <c r="B36" t="s">
        <v>87</v>
      </c>
      <c r="C36" s="17">
        <f>1.5</f>
        <v>1.5</v>
      </c>
      <c r="D36" s="2">
        <f>C36/C37</f>
        <v>6.3657771576155157E-3</v>
      </c>
      <c r="E36" s="2">
        <f>표10_19[[#This Row],[Amount (M)]]/C65</f>
        <v>6.013293040040185E-3</v>
      </c>
    </row>
    <row r="37" spans="1:6" x14ac:dyDescent="0.45">
      <c r="A37" s="70"/>
      <c r="B37" s="70" t="s">
        <v>88</v>
      </c>
      <c r="C37" s="71">
        <f>SUM(C32:C36)</f>
        <v>235.63501562499999</v>
      </c>
      <c r="D37" s="72"/>
      <c r="E37" s="72">
        <f>표10_19[[#This Row],[Amount (M)]]/C65</f>
        <v>0.94462826629838181</v>
      </c>
    </row>
    <row r="38" spans="1:6" x14ac:dyDescent="0.45">
      <c r="A38" s="11" t="s">
        <v>89</v>
      </c>
      <c r="C38" s="17"/>
      <c r="D38" s="20"/>
      <c r="E38" s="2"/>
    </row>
    <row r="39" spans="1:6" x14ac:dyDescent="0.45">
      <c r="A39" s="11"/>
      <c r="B39" t="s">
        <v>92</v>
      </c>
      <c r="C39" s="17">
        <f>0.15*4</f>
        <v>0.6</v>
      </c>
      <c r="D39" s="2">
        <f>C39/C41</f>
        <v>0.83333333333333337</v>
      </c>
      <c r="E39" s="2">
        <f>표10_19[[#This Row],[Amount (M)]]/C65</f>
        <v>2.4053172160160737E-3</v>
      </c>
    </row>
    <row r="40" spans="1:6" x14ac:dyDescent="0.45">
      <c r="A40" s="11"/>
      <c r="B40" t="s">
        <v>93</v>
      </c>
      <c r="C40" s="17">
        <f>0.01*12</f>
        <v>0.12</v>
      </c>
      <c r="D40" s="2">
        <f>C40/C41</f>
        <v>0.16666666666666666</v>
      </c>
      <c r="E40" s="2">
        <f>표10_19[[#This Row],[Amount (M)]]/C65</f>
        <v>4.810634432032148E-4</v>
      </c>
    </row>
    <row r="41" spans="1:6" s="11" customFormat="1" x14ac:dyDescent="0.45">
      <c r="A41" s="70"/>
      <c r="B41" s="70" t="s">
        <v>94</v>
      </c>
      <c r="C41" s="71">
        <f>SUM(C39:C40)</f>
        <v>0.72</v>
      </c>
      <c r="D41" s="72"/>
      <c r="E41" s="72">
        <f>표10_19[[#This Row],[Amount (M)]]/C65</f>
        <v>2.8863806592192886E-3</v>
      </c>
    </row>
    <row r="42" spans="1:6" x14ac:dyDescent="0.45">
      <c r="A42" s="11" t="s">
        <v>90</v>
      </c>
      <c r="C42" s="17"/>
      <c r="D42" s="2"/>
      <c r="E42" s="2"/>
    </row>
    <row r="43" spans="1:6" x14ac:dyDescent="0.45">
      <c r="A43" s="11"/>
      <c r="B43" t="s">
        <v>97</v>
      </c>
      <c r="C43" s="17">
        <f>0.025*12</f>
        <v>0.30000000000000004</v>
      </c>
      <c r="D43" s="2">
        <f>C43/C56</f>
        <v>3.7064492216456642E-2</v>
      </c>
      <c r="E43" s="2">
        <f>표10_19[[#This Row],[Amount (M)]]/C65</f>
        <v>1.202658608008037E-3</v>
      </c>
    </row>
    <row r="44" spans="1:6" x14ac:dyDescent="0.45">
      <c r="A44" s="11"/>
      <c r="B44" t="s">
        <v>98</v>
      </c>
      <c r="C44" s="17">
        <f>0.015*12</f>
        <v>0.18</v>
      </c>
      <c r="D44" s="2">
        <f>C44/C56</f>
        <v>2.2238695329873982E-2</v>
      </c>
      <c r="E44" s="2">
        <f>표10_19[[#This Row],[Amount (M)]]/C65</f>
        <v>7.2159516480482214E-4</v>
      </c>
    </row>
    <row r="45" spans="1:6" x14ac:dyDescent="0.45">
      <c r="A45" s="11"/>
      <c r="B45" t="s">
        <v>99</v>
      </c>
      <c r="C45" s="17">
        <f>0.004*12</f>
        <v>4.8000000000000001E-2</v>
      </c>
      <c r="D45" s="2">
        <f>C45/C56</f>
        <v>5.9303187546330622E-3</v>
      </c>
      <c r="E45" s="2">
        <f>표10_19[[#This Row],[Amount (M)]]/C65</f>
        <v>1.9242537728128591E-4</v>
      </c>
    </row>
    <row r="46" spans="1:6" x14ac:dyDescent="0.45">
      <c r="A46" s="11"/>
      <c r="B46" t="s">
        <v>101</v>
      </c>
      <c r="C46">
        <f>0.0015*12</f>
        <v>1.8000000000000002E-2</v>
      </c>
      <c r="D46" s="2">
        <f>C46/56</f>
        <v>3.2142857142857147E-4</v>
      </c>
      <c r="E46" s="2">
        <f>표10_19[[#This Row],[Amount (M)]]/C65</f>
        <v>7.2159516480482227E-5</v>
      </c>
    </row>
    <row r="47" spans="1:6" x14ac:dyDescent="0.45">
      <c r="A47" s="11"/>
      <c r="B47" s="49" t="s">
        <v>100</v>
      </c>
      <c r="C47" s="52">
        <f>0.55*12</f>
        <v>6.6000000000000005</v>
      </c>
      <c r="D47" s="82">
        <f>C47/C56</f>
        <v>0.81541882876204608</v>
      </c>
      <c r="E47" s="67">
        <f>표10_19[[#This Row],[Amount (M)]]/C65</f>
        <v>2.6458489376176817E-2</v>
      </c>
    </row>
    <row r="48" spans="1:6" x14ac:dyDescent="0.45">
      <c r="A48" s="32"/>
      <c r="B48" s="53" t="s">
        <v>96</v>
      </c>
      <c r="C48" s="54">
        <f>0.025*12</f>
        <v>0.30000000000000004</v>
      </c>
      <c r="D48" s="64">
        <f>C48/C56</f>
        <v>3.7064492216456642E-2</v>
      </c>
      <c r="E48" s="68">
        <f>표10_19[[#This Row],[Amount (M)]]/C65</f>
        <v>1.202658608008037E-3</v>
      </c>
      <c r="F48" s="40"/>
    </row>
    <row r="49" spans="1:6" x14ac:dyDescent="0.45">
      <c r="A49" s="11"/>
      <c r="B49" t="s">
        <v>102</v>
      </c>
      <c r="C49">
        <f>0.036*12</f>
        <v>0.43199999999999994</v>
      </c>
      <c r="D49" s="2">
        <f>C49/C56</f>
        <v>5.3372868791697552E-2</v>
      </c>
      <c r="E49" s="2">
        <f>표10_19[[#This Row],[Amount (M)]]/C65</f>
        <v>1.7318283955315729E-3</v>
      </c>
      <c r="F49" s="42"/>
    </row>
    <row r="50" spans="1:6" x14ac:dyDescent="0.45">
      <c r="A50" s="11"/>
      <c r="B50" t="s">
        <v>103</v>
      </c>
      <c r="C50">
        <f>0.005*12</f>
        <v>0.06</v>
      </c>
      <c r="D50" s="2">
        <f>C50/C56</f>
        <v>7.4128984432913275E-3</v>
      </c>
      <c r="E50" s="2">
        <f>표10_19[[#This Row],[Amount (M)]]/C65</f>
        <v>2.405317216016074E-4</v>
      </c>
      <c r="F50" s="41"/>
    </row>
    <row r="51" spans="1:6" x14ac:dyDescent="0.45">
      <c r="A51" s="11"/>
      <c r="B51" t="s">
        <v>104</v>
      </c>
      <c r="C51">
        <f>0.005*12</f>
        <v>0.06</v>
      </c>
      <c r="D51" s="2">
        <f>C51/C56</f>
        <v>7.4128984432913275E-3</v>
      </c>
      <c r="E51" s="2">
        <f>표10_19[[#This Row],[Amount (M)]]/C65</f>
        <v>2.405317216016074E-4</v>
      </c>
      <c r="F51" s="43"/>
    </row>
    <row r="52" spans="1:6" x14ac:dyDescent="0.45">
      <c r="A52" s="11"/>
      <c r="B52" t="s">
        <v>105</v>
      </c>
      <c r="C52">
        <f>0.003*12</f>
        <v>3.6000000000000004E-2</v>
      </c>
      <c r="D52" s="2">
        <f>C52/C56</f>
        <v>4.4477390659747968E-3</v>
      </c>
      <c r="E52" s="2">
        <f>표10_19[[#This Row],[Amount (M)]]/C65</f>
        <v>1.4431903296096445E-4</v>
      </c>
      <c r="F52" s="45"/>
    </row>
    <row r="53" spans="1:6" x14ac:dyDescent="0.45">
      <c r="A53" s="11"/>
      <c r="B53" t="s">
        <v>107</v>
      </c>
      <c r="C53">
        <f>0.005*12</f>
        <v>0.06</v>
      </c>
      <c r="D53" s="2">
        <f>C53/C56</f>
        <v>7.4128984432913275E-3</v>
      </c>
      <c r="E53" s="2">
        <f>표10_19[[#This Row],[Amount (M)]]/C65</f>
        <v>2.405317216016074E-4</v>
      </c>
      <c r="F53" s="44"/>
    </row>
    <row r="54" spans="1:6" x14ac:dyDescent="0.45">
      <c r="A54" s="11"/>
      <c r="B54" t="s">
        <v>108</v>
      </c>
      <c r="C54">
        <f>0.02*12</f>
        <v>0.24</v>
      </c>
      <c r="D54" s="2">
        <f>C54/C56</f>
        <v>2.965159377316531E-2</v>
      </c>
      <c r="E54" s="2">
        <f>표10_19[[#This Row],[Amount (M)]]/C65</f>
        <v>9.6212688640642959E-4</v>
      </c>
      <c r="F54" s="46"/>
    </row>
    <row r="55" spans="1:6" x14ac:dyDescent="0.45">
      <c r="A55" s="11"/>
      <c r="B55" t="s">
        <v>109</v>
      </c>
      <c r="C55">
        <f>0.02*12</f>
        <v>0.24</v>
      </c>
      <c r="D55" s="2">
        <f>C55/C56</f>
        <v>2.965159377316531E-2</v>
      </c>
      <c r="E55" s="2">
        <f>표10_19[[#This Row],[Amount (M)]]/C65</f>
        <v>9.6212688640642959E-4</v>
      </c>
      <c r="F55" s="47"/>
    </row>
    <row r="56" spans="1:6" s="11" customFormat="1" x14ac:dyDescent="0.45">
      <c r="A56" s="70"/>
      <c r="B56" s="70" t="s">
        <v>106</v>
      </c>
      <c r="C56" s="73">
        <f>SUM(C43:C53)</f>
        <v>8.0939999999999994</v>
      </c>
      <c r="D56" s="72"/>
      <c r="E56" s="72">
        <f>표10_19[[#This Row],[Amount (M)]]/C65</f>
        <v>3.2447729244056832E-2</v>
      </c>
      <c r="F56" s="60"/>
    </row>
    <row r="57" spans="1:6" x14ac:dyDescent="0.45">
      <c r="A57" s="11" t="s">
        <v>110</v>
      </c>
      <c r="D57" s="2"/>
      <c r="E57" s="2"/>
      <c r="F57" s="48"/>
    </row>
    <row r="58" spans="1:6" x14ac:dyDescent="0.45">
      <c r="A58" s="11"/>
      <c r="B58" t="s">
        <v>111</v>
      </c>
      <c r="C58" s="17">
        <f>0.5%*Revenue!C43</f>
        <v>3.7983321114369506</v>
      </c>
      <c r="D58" s="81">
        <f>표10_19[[#This Row],[Amount (M)]]/C64</f>
        <v>0.75991991463428055</v>
      </c>
      <c r="E58" s="2">
        <f>표10_19[[#This Row],[Amount (M)]]/C65</f>
        <v>1.522698936630997E-2</v>
      </c>
      <c r="F58" s="40"/>
    </row>
    <row r="59" spans="1:6" x14ac:dyDescent="0.45">
      <c r="A59" s="55" t="s">
        <v>112</v>
      </c>
      <c r="B59" s="56"/>
      <c r="C59" s="57"/>
      <c r="D59" s="65"/>
      <c r="E59" s="69"/>
      <c r="F59" s="40"/>
    </row>
    <row r="60" spans="1:6" x14ac:dyDescent="0.45">
      <c r="A60" s="50"/>
      <c r="B60" s="58" t="s">
        <v>113</v>
      </c>
      <c r="C60" s="48">
        <f>0.075*4</f>
        <v>0.3</v>
      </c>
      <c r="D60" s="41">
        <f>표10_19[[#This Row],[Amount (M)]]/C64</f>
        <v>6.0020021341429863E-2</v>
      </c>
      <c r="E60" s="41">
        <f>표10_19[[#This Row],[Amount (M)]]/C65</f>
        <v>1.2026586080080368E-3</v>
      </c>
      <c r="F60" s="40"/>
    </row>
    <row r="61" spans="1:6" x14ac:dyDescent="0.45">
      <c r="A61" s="50" t="s">
        <v>91</v>
      </c>
      <c r="B61" s="50"/>
      <c r="C61" s="60"/>
      <c r="D61" s="66"/>
      <c r="E61" s="66"/>
      <c r="F61" s="40"/>
    </row>
    <row r="62" spans="1:6" x14ac:dyDescent="0.45">
      <c r="A62" s="50"/>
      <c r="B62" s="58" t="s">
        <v>114</v>
      </c>
      <c r="C62" s="62">
        <f>0.5</f>
        <v>0.5</v>
      </c>
      <c r="D62" s="41">
        <f>표10_19[[#This Row],[Amount (M)]]/C64</f>
        <v>0.10003336890238311</v>
      </c>
      <c r="E62" s="41">
        <f>표10_19[[#This Row],[Amount (M)]]/C65</f>
        <v>2.0044310133467283E-3</v>
      </c>
    </row>
    <row r="63" spans="1:6" x14ac:dyDescent="0.45">
      <c r="A63" s="50"/>
      <c r="B63" s="63" t="s">
        <v>115</v>
      </c>
      <c r="C63" s="51">
        <f>0.4</f>
        <v>0.4</v>
      </c>
      <c r="D63" s="44">
        <f>표10_19[[#This Row],[Amount (M)]]/C64</f>
        <v>8.0026695121906494E-2</v>
      </c>
      <c r="E63" s="44">
        <f>표10_19[[#This Row],[Amount (M)]]/C65</f>
        <v>1.6035448106773828E-3</v>
      </c>
    </row>
    <row r="64" spans="1:6" s="11" customFormat="1" x14ac:dyDescent="0.45">
      <c r="A64" s="70"/>
      <c r="B64" s="74" t="s">
        <v>116</v>
      </c>
      <c r="C64" s="75">
        <f>SUM(C58:C63)</f>
        <v>4.9983321114369508</v>
      </c>
      <c r="D64" s="76"/>
      <c r="E64" s="76">
        <f>표10_19[[#This Row],[Amount (M)]]/C65</f>
        <v>2.0037623798342119E-2</v>
      </c>
    </row>
    <row r="65" spans="1:5" x14ac:dyDescent="0.45">
      <c r="A65" s="77" t="s">
        <v>47</v>
      </c>
      <c r="B65" s="77"/>
      <c r="C65" s="78">
        <f>SUM(C64+C56+C41+C37)</f>
        <v>249.44734773643694</v>
      </c>
      <c r="D65" s="79"/>
      <c r="E65" s="80">
        <f>SUM(E64+E56+E41+E37)</f>
        <v>1</v>
      </c>
    </row>
    <row r="66" spans="1:5" x14ac:dyDescent="0.45">
      <c r="A66" s="40"/>
      <c r="B66" s="40"/>
      <c r="C66" s="40"/>
      <c r="D66" s="40"/>
      <c r="E66" s="40"/>
    </row>
    <row r="67" spans="1:5" x14ac:dyDescent="0.45">
      <c r="A67" s="40"/>
      <c r="B67" s="40"/>
      <c r="C67" s="40"/>
      <c r="D67" s="40"/>
      <c r="E67" s="40"/>
    </row>
    <row r="68" spans="1:5" x14ac:dyDescent="0.45">
      <c r="A68" s="40"/>
      <c r="B68" s="40"/>
      <c r="C68" s="40"/>
      <c r="D68" s="40"/>
      <c r="E68" s="40"/>
    </row>
    <row r="69" spans="1:5" x14ac:dyDescent="0.45">
      <c r="A69" s="40"/>
      <c r="B69" s="40"/>
      <c r="C69" s="40"/>
      <c r="D69" s="40"/>
      <c r="E69" s="40"/>
    </row>
    <row r="70" spans="1:5" x14ac:dyDescent="0.45">
      <c r="A70" s="40"/>
      <c r="B70" s="40"/>
      <c r="C70" s="40"/>
      <c r="D70" s="40"/>
      <c r="E70" s="40"/>
    </row>
    <row r="71" spans="1:5" x14ac:dyDescent="0.45">
      <c r="A71" s="50"/>
      <c r="B71" s="58"/>
      <c r="C71" s="48"/>
      <c r="D71" s="59"/>
      <c r="E71" s="59"/>
    </row>
    <row r="72" spans="1:5" x14ac:dyDescent="0.45">
      <c r="A72" s="50"/>
      <c r="B72" s="50"/>
      <c r="C72" s="60"/>
      <c r="D72" s="61"/>
      <c r="E72" s="61"/>
    </row>
    <row r="73" spans="1:5" x14ac:dyDescent="0.45">
      <c r="A73" s="50"/>
      <c r="B73" s="58"/>
      <c r="C73" s="62"/>
      <c r="D73" s="58"/>
      <c r="E73" s="58"/>
    </row>
    <row r="74" spans="1:5" x14ac:dyDescent="0.45">
      <c r="A74" s="50"/>
      <c r="B74" s="45"/>
      <c r="C74" s="51"/>
      <c r="D74" s="44"/>
      <c r="E74" s="45"/>
    </row>
    <row r="75" spans="1:5" x14ac:dyDescent="0.45">
      <c r="A75" s="50"/>
      <c r="B75" s="46"/>
      <c r="C75" s="51"/>
      <c r="D75" s="46"/>
      <c r="E75" s="46"/>
    </row>
    <row r="76" spans="1:5" x14ac:dyDescent="0.45">
      <c r="A76" s="40"/>
      <c r="B76" s="40"/>
      <c r="C76" s="40"/>
      <c r="D76" s="40"/>
      <c r="E76" s="40"/>
    </row>
    <row r="77" spans="1:5" x14ac:dyDescent="0.45">
      <c r="A77" s="40"/>
      <c r="B77" s="40"/>
      <c r="C77" s="40"/>
      <c r="D77" s="40"/>
      <c r="E77" s="40"/>
    </row>
  </sheetData>
  <phoneticPr fontId="3" type="noConversion"/>
  <conditionalFormatting sqref="B43 B59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{62A3D534-E11C-4087-98C1-A7EFE58DFB5C}</x14:id>
        </ext>
      </extLst>
    </cfRule>
  </conditionalFormatting>
  <conditionalFormatting sqref="B6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{E9E43CDE-60CB-4C92-91D1-CBEAC7214A00}</x14:id>
        </ext>
      </extLst>
    </cfRule>
  </conditionalFormatting>
  <conditionalFormatting sqref="F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{ABDD4DC5-09E2-4B32-BDB8-6FD84511383E}</x14:id>
        </ext>
      </extLst>
    </cfRule>
  </conditionalFormatting>
  <conditionalFormatting sqref="F5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{81494495-0DD7-48F6-AF08-DD853A4B6808}</x14:id>
        </ext>
      </extLst>
    </cfRule>
  </conditionalFormatting>
  <conditionalFormatting sqref="F55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{8169772F-91A7-4E67-B243-3C17A0F2CF93}</x14:id>
        </ext>
      </extLst>
    </cfRule>
  </conditionalFormatting>
  <conditionalFormatting sqref="B39:B41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{2B408F23-AB4C-4118-826A-F7FD76505E3B}</x14:id>
        </ext>
      </extLst>
    </cfRule>
  </conditionalFormatting>
  <conditionalFormatting sqref="B32:B34 B36:B37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{8AF02632-CA95-4B30-AC8C-526AA5B741B5}</x14:id>
        </ext>
      </extLst>
    </cfRule>
  </conditionalFormatting>
  <conditionalFormatting sqref="E71:E72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{56B41A17-3710-44E9-89F6-9656EDC372FF}</x14:id>
        </ext>
      </extLst>
    </cfRule>
  </conditionalFormatting>
  <conditionalFormatting sqref="B47:B4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{63E9E33B-BAF3-4A79-96B3-BF49CDA22E3F}</x14:id>
        </ext>
      </extLst>
    </cfRule>
  </conditionalFormatting>
  <conditionalFormatting sqref="B7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{7EA9DDFF-9C5B-4C2A-B2A7-575AD7948514}</x14:id>
        </ext>
      </extLst>
    </cfRule>
  </conditionalFormatting>
  <conditionalFormatting sqref="D7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{90E59338-A063-4833-A69B-A74B925F32D9}</x14:id>
        </ext>
      </extLst>
    </cfRule>
  </conditionalFormatting>
  <conditionalFormatting sqref="A75:E7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{2C28EAC6-3239-4B98-89A9-53CFBE7B5961}</x14:id>
        </ext>
      </extLst>
    </cfRule>
  </conditionalFormatting>
  <conditionalFormatting sqref="B64 F54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{196327C3-790A-4011-BFE2-DEAFD1500FB4}</x14:id>
        </ext>
      </extLst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A3D534-E11C-4087-98C1-A7EFE58DFB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B43 B59</xm:sqref>
        </x14:conditionalFormatting>
        <x14:conditionalFormatting xmlns:xm="http://schemas.microsoft.com/office/excel/2006/main">
          <x14:cfRule type="dataBar" id="{E9E43CDE-60CB-4C92-91D1-CBEAC7214A0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ABDD4DC5-09E2-4B32-BDB8-6FD8451138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F57</xm:sqref>
        </x14:conditionalFormatting>
        <x14:conditionalFormatting xmlns:xm="http://schemas.microsoft.com/office/excel/2006/main">
          <x14:cfRule type="dataBar" id="{81494495-0DD7-48F6-AF08-DD853A4B68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F53</xm:sqref>
        </x14:conditionalFormatting>
        <x14:conditionalFormatting xmlns:xm="http://schemas.microsoft.com/office/excel/2006/main">
          <x14:cfRule type="dataBar" id="{8169772F-91A7-4E67-B243-3C17A0F2CF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F55</xm:sqref>
        </x14:conditionalFormatting>
        <x14:conditionalFormatting xmlns:xm="http://schemas.microsoft.com/office/excel/2006/main">
          <x14:cfRule type="dataBar" id="{2B408F23-AB4C-4118-826A-F7FD76505E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B39:B41</xm:sqref>
        </x14:conditionalFormatting>
        <x14:conditionalFormatting xmlns:xm="http://schemas.microsoft.com/office/excel/2006/main">
          <x14:cfRule type="dataBar" id="{8AF02632-CA95-4B30-AC8C-526AA5B741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B32:B34 B36:B37</xm:sqref>
        </x14:conditionalFormatting>
        <x14:conditionalFormatting xmlns:xm="http://schemas.microsoft.com/office/excel/2006/main">
          <x14:cfRule type="dataBar" id="{56B41A17-3710-44E9-89F6-9656EDC372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E71:E72</xm:sqref>
        </x14:conditionalFormatting>
        <x14:conditionalFormatting xmlns:xm="http://schemas.microsoft.com/office/excel/2006/main">
          <x14:cfRule type="dataBar" id="{63E9E33B-BAF3-4A79-96B3-BF49CDA22E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B47:B48</xm:sqref>
        </x14:conditionalFormatting>
        <x14:conditionalFormatting xmlns:xm="http://schemas.microsoft.com/office/excel/2006/main">
          <x14:cfRule type="dataBar" id="{7EA9DDFF-9C5B-4C2A-B2A7-575AD79485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90E59338-A063-4833-A69B-A74B925F32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D74</xm:sqref>
        </x14:conditionalFormatting>
        <x14:conditionalFormatting xmlns:xm="http://schemas.microsoft.com/office/excel/2006/main">
          <x14:cfRule type="dataBar" id="{2C28EAC6-3239-4B98-89A9-53CFBE7B59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A75:E75</xm:sqref>
        </x14:conditionalFormatting>
        <x14:conditionalFormatting xmlns:xm="http://schemas.microsoft.com/office/excel/2006/main">
          <x14:cfRule type="dataBar" id="{196327C3-790A-4011-BFE2-DEAFD1500F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B64 F54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Revenue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최</dc:creator>
  <cp:lastModifiedBy>현수 최</cp:lastModifiedBy>
  <dcterms:created xsi:type="dcterms:W3CDTF">2025-09-05T13:24:15Z</dcterms:created>
  <dcterms:modified xsi:type="dcterms:W3CDTF">2025-09-05T20:10:42Z</dcterms:modified>
</cp:coreProperties>
</file>