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ddd24\OneDrive\문서\"/>
    </mc:Choice>
  </mc:AlternateContent>
  <xr:revisionPtr revIDLastSave="0" documentId="13_ncr:1_{FE1ED5DC-BA81-4721-B6D3-2DCFA434434E}" xr6:coauthVersionLast="47" xr6:coauthVersionMax="47" xr10:uidLastSave="{00000000-0000-0000-0000-000000000000}"/>
  <bookViews>
    <workbookView xWindow="-110" yWindow="-110" windowWidth="25820" windowHeight="13900" xr2:uid="{C149913A-44C4-4C85-88DF-F17C1ABA1DF1}"/>
  </bookViews>
  <sheets>
    <sheet name="Disclaimer" sheetId="12" r:id="rId1"/>
    <sheet name="Factors-Equity" sheetId="3" r:id="rId2"/>
    <sheet name="Factors-Token" sheetId="4" r:id="rId3"/>
    <sheet name="Summarize" sheetId="11" r:id="rId4"/>
    <sheet name="Founders" sheetId="10" r:id="rId5"/>
    <sheet name="Pre-seed Investors" sheetId="5" r:id="rId6"/>
    <sheet name="Seed Investors" sheetId="6" r:id="rId7"/>
    <sheet name="Series-A Investors" sheetId="7" r:id="rId8"/>
    <sheet name="Series-B Investors" sheetId="8" r:id="rId9"/>
    <sheet name="Series-C Investors"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7" l="1"/>
  <c r="L5" i="7"/>
  <c r="L6" i="7"/>
  <c r="P3" i="11"/>
  <c r="P4" i="11"/>
  <c r="I6" i="7"/>
  <c r="I5" i="7"/>
  <c r="I4" i="7"/>
  <c r="J15" i="11"/>
  <c r="J16" i="11"/>
  <c r="J13" i="11"/>
  <c r="J12" i="11"/>
  <c r="I14" i="11"/>
  <c r="I15" i="11" s="1"/>
  <c r="I16" i="11" s="1"/>
  <c r="I13" i="11"/>
  <c r="C6" i="8"/>
  <c r="C5" i="7"/>
  <c r="C6" i="7" s="1"/>
  <c r="C4" i="6"/>
  <c r="C5" i="6" s="1"/>
  <c r="C6" i="6" s="1"/>
  <c r="C4" i="5"/>
  <c r="C5" i="5" s="1"/>
  <c r="C6" i="5" s="1"/>
  <c r="C3" i="5"/>
  <c r="C3" i="10"/>
  <c r="C4" i="10" s="1"/>
  <c r="C5" i="10" s="1"/>
  <c r="C6" i="10" s="1"/>
  <c r="J3" i="3"/>
  <c r="H12" i="11"/>
  <c r="D13" i="11"/>
  <c r="E13" i="11"/>
  <c r="F13" i="11"/>
  <c r="G13" i="11"/>
  <c r="E14" i="11"/>
  <c r="F14" i="11"/>
  <c r="G14" i="11"/>
  <c r="F15" i="11"/>
  <c r="G15" i="11"/>
  <c r="G16" i="11"/>
  <c r="G12" i="11"/>
  <c r="F12" i="11"/>
  <c r="E12" i="11"/>
  <c r="D12" i="11"/>
  <c r="C12" i="11"/>
  <c r="B12" i="11"/>
  <c r="E5" i="10"/>
  <c r="X4" i="11"/>
  <c r="Y4" i="11"/>
  <c r="X5" i="11"/>
  <c r="Y5" i="11"/>
  <c r="X6" i="11"/>
  <c r="Y6" i="11"/>
  <c r="Y3" i="11"/>
  <c r="X3" i="11"/>
  <c r="T4" i="11"/>
  <c r="U4" i="11"/>
  <c r="T5" i="11"/>
  <c r="U5" i="11"/>
  <c r="U3" i="11"/>
  <c r="T3" i="11"/>
  <c r="Q4" i="11"/>
  <c r="Q3" i="11"/>
  <c r="N4" i="11"/>
  <c r="O4" i="11"/>
  <c r="O3" i="11"/>
  <c r="N3" i="11"/>
  <c r="L3" i="11"/>
  <c r="M3" i="11"/>
  <c r="V4" i="11"/>
  <c r="W4" i="11"/>
  <c r="V5" i="11"/>
  <c r="W5" i="11"/>
  <c r="V6" i="11"/>
  <c r="W6" i="11"/>
  <c r="W3" i="11"/>
  <c r="V3" i="11"/>
  <c r="R4" i="11"/>
  <c r="S4" i="11"/>
  <c r="R5" i="11"/>
  <c r="S5" i="11"/>
  <c r="S3" i="11"/>
  <c r="R3" i="11"/>
  <c r="K3" i="11"/>
  <c r="J3" i="11"/>
  <c r="E6" i="9"/>
  <c r="G6" i="9" s="1"/>
  <c r="B6" i="9"/>
  <c r="E6" i="8"/>
  <c r="G6" i="8" s="1"/>
  <c r="B6" i="8"/>
  <c r="E5" i="8"/>
  <c r="G5" i="8" s="1"/>
  <c r="B5" i="8"/>
  <c r="E6" i="7"/>
  <c r="G6" i="7" s="1"/>
  <c r="B6" i="7"/>
  <c r="E5" i="7"/>
  <c r="G5" i="7" s="1"/>
  <c r="B5" i="7"/>
  <c r="E4" i="7"/>
  <c r="G4" i="7" s="1"/>
  <c r="B4" i="7"/>
  <c r="E6" i="6"/>
  <c r="G6" i="6" s="1"/>
  <c r="B6" i="6"/>
  <c r="E5" i="6"/>
  <c r="G5" i="6" s="1"/>
  <c r="B5" i="6"/>
  <c r="E4" i="6"/>
  <c r="G4" i="6" s="1"/>
  <c r="B4" i="6"/>
  <c r="E3" i="6"/>
  <c r="G3" i="6" s="1"/>
  <c r="B3" i="6"/>
  <c r="D3" i="6" s="1"/>
  <c r="I3" i="6" s="1"/>
  <c r="E6" i="5"/>
  <c r="G6" i="5" s="1"/>
  <c r="B6" i="5"/>
  <c r="E5" i="5"/>
  <c r="G5" i="5" s="1"/>
  <c r="B5" i="5"/>
  <c r="G4" i="5"/>
  <c r="E4" i="5"/>
  <c r="B4" i="5"/>
  <c r="E3" i="5"/>
  <c r="G3" i="5" s="1"/>
  <c r="B3" i="5"/>
  <c r="E2" i="5"/>
  <c r="G2" i="5" s="1"/>
  <c r="B2" i="5"/>
  <c r="D2" i="5" s="1"/>
  <c r="I5" i="5" s="1"/>
  <c r="B3" i="10"/>
  <c r="B4" i="10"/>
  <c r="B5" i="10"/>
  <c r="B6" i="10"/>
  <c r="B2" i="10"/>
  <c r="D2" i="10" s="1"/>
  <c r="E3" i="10"/>
  <c r="G3" i="10" s="1"/>
  <c r="J3" i="10" s="1"/>
  <c r="B4" i="11" s="1"/>
  <c r="E4" i="10"/>
  <c r="G4" i="10" s="1"/>
  <c r="J4" i="10" s="1"/>
  <c r="B5" i="11" s="1"/>
  <c r="G5" i="10"/>
  <c r="J5" i="10" s="1"/>
  <c r="B6" i="11" s="1"/>
  <c r="E6" i="10"/>
  <c r="G6" i="10" s="1"/>
  <c r="J6" i="10" s="1"/>
  <c r="B7" i="11" s="1"/>
  <c r="E2" i="10"/>
  <c r="G2" i="10" s="1"/>
  <c r="E2" i="3"/>
  <c r="H4" i="3"/>
  <c r="H3" i="3"/>
  <c r="H5" i="3"/>
  <c r="H6" i="3"/>
  <c r="H2" i="3"/>
  <c r="E4" i="3"/>
  <c r="E5" i="3"/>
  <c r="E6" i="3"/>
  <c r="F16" i="11" s="1"/>
  <c r="F2" i="3"/>
  <c r="E3" i="4"/>
  <c r="E4" i="4"/>
  <c r="E5" i="4"/>
  <c r="E6" i="4"/>
  <c r="E2" i="4"/>
  <c r="D14" i="11" l="1"/>
  <c r="E15" i="11"/>
  <c r="C13" i="11"/>
  <c r="B13" i="11"/>
  <c r="I4" i="6"/>
  <c r="J4" i="6" s="1"/>
  <c r="I2" i="10"/>
  <c r="J2" i="10" s="1"/>
  <c r="I6" i="6"/>
  <c r="J6" i="6" s="1"/>
  <c r="I5" i="6"/>
  <c r="J5" i="6" s="1"/>
  <c r="K3" i="6"/>
  <c r="D6" i="9"/>
  <c r="D5" i="8"/>
  <c r="D6" i="8"/>
  <c r="K6" i="8" s="1"/>
  <c r="D4" i="7"/>
  <c r="D5" i="7"/>
  <c r="K5" i="7" s="1"/>
  <c r="I3" i="5"/>
  <c r="J3" i="5" s="1"/>
  <c r="I6" i="5"/>
  <c r="J6" i="5" s="1"/>
  <c r="D3" i="5"/>
  <c r="K3" i="5" s="1"/>
  <c r="I2" i="5"/>
  <c r="J2" i="5" s="1"/>
  <c r="I4" i="5"/>
  <c r="J4" i="5" s="1"/>
  <c r="J3" i="6"/>
  <c r="D4" i="6"/>
  <c r="K4" i="6" s="1"/>
  <c r="J5" i="5"/>
  <c r="K2" i="5"/>
  <c r="K2" i="10"/>
  <c r="D3" i="10"/>
  <c r="K3" i="10" s="1"/>
  <c r="H13" i="11" l="1"/>
  <c r="M3" i="6"/>
  <c r="M4" i="11" s="1"/>
  <c r="K4" i="11"/>
  <c r="L4" i="6"/>
  <c r="L5" i="11" s="1"/>
  <c r="J5" i="11"/>
  <c r="L3" i="6"/>
  <c r="L4" i="11" s="1"/>
  <c r="J4" i="11"/>
  <c r="D6" i="7"/>
  <c r="K6" i="7" s="1"/>
  <c r="O7" i="11" s="1"/>
  <c r="E16" i="11"/>
  <c r="D15" i="11"/>
  <c r="M4" i="6"/>
  <c r="M5" i="11" s="1"/>
  <c r="K5" i="11"/>
  <c r="C14" i="11"/>
  <c r="B14" i="11"/>
  <c r="D4" i="10"/>
  <c r="K4" i="10" s="1"/>
  <c r="C5" i="11" s="1"/>
  <c r="M6" i="8"/>
  <c r="U7" i="11" s="1"/>
  <c r="S7" i="11"/>
  <c r="L6" i="6"/>
  <c r="L7" i="11" s="1"/>
  <c r="J7" i="11"/>
  <c r="M5" i="7"/>
  <c r="Q6" i="11" s="1"/>
  <c r="O6" i="11"/>
  <c r="L5" i="6"/>
  <c r="L6" i="11" s="1"/>
  <c r="J6" i="11"/>
  <c r="C4" i="11"/>
  <c r="D5" i="10"/>
  <c r="K5" i="10" s="1"/>
  <c r="C3" i="11"/>
  <c r="B3" i="11"/>
  <c r="L6" i="5"/>
  <c r="H7" i="11" s="1"/>
  <c r="F7" i="11"/>
  <c r="L5" i="5"/>
  <c r="H6" i="11" s="1"/>
  <c r="F6" i="11"/>
  <c r="L4" i="5"/>
  <c r="H5" i="11" s="1"/>
  <c r="F5" i="11"/>
  <c r="L3" i="5"/>
  <c r="H4" i="11" s="1"/>
  <c r="F4" i="11"/>
  <c r="M3" i="5"/>
  <c r="I4" i="11" s="1"/>
  <c r="G4" i="11"/>
  <c r="M2" i="5"/>
  <c r="I3" i="11" s="1"/>
  <c r="G3" i="11"/>
  <c r="L2" i="5"/>
  <c r="H3" i="11" s="1"/>
  <c r="F3" i="11"/>
  <c r="D4" i="5"/>
  <c r="K4" i="5" s="1"/>
  <c r="D5" i="5"/>
  <c r="K5" i="5" s="1"/>
  <c r="D5" i="6"/>
  <c r="K5" i="6" s="1"/>
  <c r="K5" i="8"/>
  <c r="I6" i="8"/>
  <c r="J6" i="8" s="1"/>
  <c r="I5" i="8"/>
  <c r="J5" i="8" s="1"/>
  <c r="K6" i="9"/>
  <c r="I6" i="9"/>
  <c r="J6" i="9" s="1"/>
  <c r="K4" i="7"/>
  <c r="J5" i="7"/>
  <c r="J6" i="7"/>
  <c r="J4" i="7"/>
  <c r="H14" i="11" l="1"/>
  <c r="J14" i="11"/>
  <c r="P5" i="11"/>
  <c r="N5" i="11"/>
  <c r="M4" i="7"/>
  <c r="Q5" i="11" s="1"/>
  <c r="O5" i="11"/>
  <c r="M6" i="7"/>
  <c r="Q7" i="11" s="1"/>
  <c r="D6" i="6"/>
  <c r="K6" i="6" s="1"/>
  <c r="D16" i="11"/>
  <c r="C15" i="11"/>
  <c r="B15" i="11"/>
  <c r="L6" i="9"/>
  <c r="X7" i="11" s="1"/>
  <c r="V7" i="11"/>
  <c r="M6" i="9"/>
  <c r="Y7" i="11" s="1"/>
  <c r="W7" i="11"/>
  <c r="L6" i="8"/>
  <c r="T7" i="11" s="1"/>
  <c r="R7" i="11"/>
  <c r="P7" i="11"/>
  <c r="N7" i="11"/>
  <c r="L5" i="8"/>
  <c r="T6" i="11" s="1"/>
  <c r="R6" i="11"/>
  <c r="M5" i="8"/>
  <c r="U6" i="11" s="1"/>
  <c r="S6" i="11"/>
  <c r="M5" i="6"/>
  <c r="M6" i="11" s="1"/>
  <c r="K6" i="11"/>
  <c r="P6" i="11"/>
  <c r="N6" i="11"/>
  <c r="C6" i="11"/>
  <c r="M5" i="5"/>
  <c r="I6" i="11" s="1"/>
  <c r="G6" i="11"/>
  <c r="M4" i="5"/>
  <c r="I5" i="11" s="1"/>
  <c r="G5" i="11"/>
  <c r="M6" i="6" l="1"/>
  <c r="M7" i="11" s="1"/>
  <c r="K7" i="11"/>
  <c r="H15" i="11"/>
  <c r="C16" i="11"/>
  <c r="D6" i="5"/>
  <c r="K6" i="5" s="1"/>
  <c r="D6" i="10"/>
  <c r="K6" i="10" s="1"/>
  <c r="B16" i="11"/>
  <c r="H16" i="11" l="1"/>
  <c r="M6" i="5"/>
  <c r="I7" i="11" s="1"/>
  <c r="G7" i="11"/>
  <c r="C7" i="11"/>
</calcChain>
</file>

<file path=xl/sharedStrings.xml><?xml version="1.0" encoding="utf-8"?>
<sst xmlns="http://schemas.openxmlformats.org/spreadsheetml/2006/main" count="216" uniqueCount="60">
  <si>
    <t>Round</t>
    <phoneticPr fontId="2" type="noConversion"/>
  </si>
  <si>
    <t>Pre-Seed</t>
    <phoneticPr fontId="2" type="noConversion"/>
  </si>
  <si>
    <t>Series-A</t>
    <phoneticPr fontId="2" type="noConversion"/>
  </si>
  <si>
    <t>Series-B</t>
    <phoneticPr fontId="2" type="noConversion"/>
  </si>
  <si>
    <t>Series-C</t>
    <phoneticPr fontId="2" type="noConversion"/>
  </si>
  <si>
    <t>Invest Amt</t>
    <phoneticPr fontId="2" type="noConversion"/>
  </si>
  <si>
    <t>Equity %</t>
    <phoneticPr fontId="2" type="noConversion"/>
  </si>
  <si>
    <t>Put Option ROI</t>
    <phoneticPr fontId="2" type="noConversion"/>
  </si>
  <si>
    <t>Exit Amt</t>
    <phoneticPr fontId="2" type="noConversion"/>
  </si>
  <si>
    <t>Seed</t>
    <phoneticPr fontId="2" type="noConversion"/>
  </si>
  <si>
    <t>Token Allocation</t>
    <phoneticPr fontId="2" type="noConversion"/>
  </si>
  <si>
    <t>Token Value</t>
    <phoneticPr fontId="2" type="noConversion"/>
  </si>
  <si>
    <t>Total</t>
    <phoneticPr fontId="2" type="noConversion"/>
  </si>
  <si>
    <t>Value (Cap min)</t>
    <phoneticPr fontId="2" type="noConversion"/>
  </si>
  <si>
    <t>Value (Cap max)</t>
    <phoneticPr fontId="2" type="noConversion"/>
  </si>
  <si>
    <t>-</t>
    <phoneticPr fontId="2" type="noConversion"/>
  </si>
  <si>
    <t>Equity % (min)</t>
    <phoneticPr fontId="2" type="noConversion"/>
  </si>
  <si>
    <t>Equity % (max)</t>
    <phoneticPr fontId="2" type="noConversion"/>
  </si>
  <si>
    <t>Token FDV</t>
    <phoneticPr fontId="2" type="noConversion"/>
  </si>
  <si>
    <t>ESOP Refill</t>
    <phoneticPr fontId="2" type="noConversion"/>
  </si>
  <si>
    <t>Equity Value</t>
    <phoneticPr fontId="2" type="noConversion"/>
  </si>
  <si>
    <t>Option ROI</t>
    <phoneticPr fontId="2" type="noConversion"/>
  </si>
  <si>
    <t>Option Value</t>
    <phoneticPr fontId="2" type="noConversion"/>
  </si>
  <si>
    <t>ROI (Abs, Opt)</t>
    <phoneticPr fontId="2" type="noConversion"/>
  </si>
  <si>
    <t>ROI (Abs, NoOpt)</t>
    <phoneticPr fontId="2" type="noConversion"/>
  </si>
  <si>
    <t>ROI % (Opt)</t>
    <phoneticPr fontId="2" type="noConversion"/>
  </si>
  <si>
    <t>ROI % (NoOpt)</t>
    <phoneticPr fontId="2" type="noConversion"/>
  </si>
  <si>
    <t>Entity</t>
    <phoneticPr fontId="2" type="noConversion"/>
  </si>
  <si>
    <t>Founders</t>
    <phoneticPr fontId="2" type="noConversion"/>
  </si>
  <si>
    <t>Pre-seed</t>
    <phoneticPr fontId="2" type="noConversion"/>
  </si>
  <si>
    <t>Founders (Abs, Opt)</t>
    <phoneticPr fontId="2" type="noConversion"/>
  </si>
  <si>
    <t>Founders (Abs, NoOpt)</t>
    <phoneticPr fontId="2" type="noConversion"/>
  </si>
  <si>
    <t>Pre-seed (Abs, Opt)</t>
    <phoneticPr fontId="2" type="noConversion"/>
  </si>
  <si>
    <t>Pre-seed (Abs, NoOpt)</t>
    <phoneticPr fontId="2" type="noConversion"/>
  </si>
  <si>
    <t>Seed (Abs, Opt)</t>
    <phoneticPr fontId="2" type="noConversion"/>
  </si>
  <si>
    <t>Seed (Abs, NoOpt)</t>
    <phoneticPr fontId="2" type="noConversion"/>
  </si>
  <si>
    <t>Series-A (Abs, Opt)</t>
    <phoneticPr fontId="2" type="noConversion"/>
  </si>
  <si>
    <t>Series-A (Abs, NoOpt)</t>
    <phoneticPr fontId="2" type="noConversion"/>
  </si>
  <si>
    <t>Series-B (Abs, Opt)</t>
    <phoneticPr fontId="2" type="noConversion"/>
  </si>
  <si>
    <t>Series-B (Abs, NoOpt)</t>
    <phoneticPr fontId="2" type="noConversion"/>
  </si>
  <si>
    <t>Series-C (Abs, Opt)</t>
    <phoneticPr fontId="2" type="noConversion"/>
  </si>
  <si>
    <t>Series-C (Abs, NoOpt)</t>
    <phoneticPr fontId="2" type="noConversion"/>
  </si>
  <si>
    <t>Founders (Opt)</t>
    <phoneticPr fontId="2" type="noConversion"/>
  </si>
  <si>
    <t>Founders (NoOpt)</t>
    <phoneticPr fontId="2" type="noConversion"/>
  </si>
  <si>
    <t>Pre-seed (Opt)</t>
    <phoneticPr fontId="2" type="noConversion"/>
  </si>
  <si>
    <t>Pre-seed (NoOpt)</t>
    <phoneticPr fontId="2" type="noConversion"/>
  </si>
  <si>
    <t>Seed (Opt)</t>
    <phoneticPr fontId="2" type="noConversion"/>
  </si>
  <si>
    <t>Seed (NoOpt)</t>
    <phoneticPr fontId="2" type="noConversion"/>
  </si>
  <si>
    <t>Series-A (Opt)</t>
    <phoneticPr fontId="2" type="noConversion"/>
  </si>
  <si>
    <t>Series-A (NoOpt)</t>
    <phoneticPr fontId="2" type="noConversion"/>
  </si>
  <si>
    <t>Series-B (Opt)</t>
    <phoneticPr fontId="2" type="noConversion"/>
  </si>
  <si>
    <t>Series-B (NoOpt)</t>
    <phoneticPr fontId="2" type="noConversion"/>
  </si>
  <si>
    <t>Series-C (Opt)</t>
    <phoneticPr fontId="2" type="noConversion"/>
  </si>
  <si>
    <t>Series-C (NoOpt)</t>
    <phoneticPr fontId="2" type="noConversion"/>
  </si>
  <si>
    <t>ESOP Round</t>
    <phoneticPr fontId="2" type="noConversion"/>
  </si>
  <si>
    <t>Dilution</t>
    <phoneticPr fontId="2" type="noConversion"/>
  </si>
  <si>
    <t>Holders Total</t>
    <phoneticPr fontId="2" type="noConversion"/>
  </si>
  <si>
    <t>Founders &amp; Whole Team (5 Founders, Additional Team Members)</t>
    <phoneticPr fontId="2" type="noConversion"/>
  </si>
  <si>
    <r>
      <rPr>
        <b/>
        <sz val="11"/>
        <color theme="9"/>
        <rFont val="Segoe UI Emoji"/>
        <family val="2"/>
      </rPr>
      <t>🔹</t>
    </r>
    <r>
      <rPr>
        <b/>
        <sz val="11"/>
        <color theme="9"/>
        <rFont val="Times New Roman"/>
        <family val="1"/>
      </rPr>
      <t xml:space="preserve"> Legal Separation of Entities</t>
    </r>
    <r>
      <rPr>
        <sz val="11"/>
        <color theme="1"/>
        <rFont val="Times New Roman"/>
        <family val="1"/>
      </rPr>
      <t xml:space="preserve">
</t>
    </r>
    <r>
      <rPr>
        <i/>
        <sz val="10"/>
        <color theme="1"/>
        <rFont val="Times New Roman"/>
        <family val="1"/>
      </rPr>
      <t>The HyperIn Foundation and HyperDEX Foundation are independent legal entities, each established separately from HyperIndex Labs with no cross-ownership or control relationship.
These Foundations and the Labs are not identical entities, and operate under distinct mandates:
Foundations are responsible for protocol governance and token issuance, while HyperIndex Labs serves solely as a technical development and service provider.
Any option agreements, token allocations, or discounted purchase arrangements related to the Foundations are executed directly between investors and the respective Foundation(s).
HyperIndex Labs is not a party to such agreements, and holds no legal, voting, or economic rights in relation to the Foundation tokens.
Accordingly, all token-related terms remain independent from any investment agreements with HyperIndex Labs.</t>
    </r>
    <phoneticPr fontId="2" type="noConversion"/>
  </si>
  <si>
    <r>
      <rPr>
        <b/>
        <sz val="11"/>
        <color theme="9"/>
        <rFont val="Segoe UI Emoji"/>
        <family val="2"/>
      </rPr>
      <t>🔹</t>
    </r>
    <r>
      <rPr>
        <b/>
        <sz val="11"/>
        <color theme="9"/>
        <rFont val="Times New Roman"/>
        <family val="1"/>
      </rPr>
      <t xml:space="preserve"> DISCLAIMER</t>
    </r>
    <r>
      <rPr>
        <sz val="11"/>
        <color theme="3"/>
        <rFont val="Times New Roman"/>
        <family val="1"/>
      </rPr>
      <t xml:space="preserve">
</t>
    </r>
    <r>
      <rPr>
        <i/>
        <sz val="10"/>
        <color theme="3"/>
        <rFont val="Times New Roman"/>
        <family val="1"/>
      </rPr>
      <t>This spreadsheet is a preliminary financial and token allocation projection tool prepared for internal and illustrative purposes only.
All numbers, ratios, and calculations contained herein are hypothetical and subject to change without notice.
This document does not represent finalized capitalization, valuation, or token distribution figures, nor does it constitute any form of investment offer, solicitation, or legal commitment.
HyperIndex Labs and its affiliated Foundations reserve the right to modify assumptions and methodologies at any time based on governance, market conditions, or regulatory review.</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</si>
</sst>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76" formatCode="_-[$$-409]* #,##0_ ;_-[$$-409]* \-#,##0\ ;_-[$$-409]* &quot;-&quot;??_ ;_-@_ "/>
    <numFmt numFmtId="177" formatCode="0_);[Red]\(0\)"/>
    <numFmt numFmtId="178" formatCode="0.00_);[Red]\(0.00\)"/>
    <numFmt numFmtId="179" formatCode="0.0%"/>
    <numFmt numFmtId="180" formatCode="0.0_);[Red]\(0.0\)"/>
    <numFmt numFmtId="181" formatCode="0.000%"/>
    <numFmt numFmtId="182" formatCode="0.0000"/>
    <numFmt numFmtId="183" formatCode="0.00000000000"/>
    <numFmt numFmtId="184" formatCode="0.000000000000000%"/>
  </numFmts>
  <fonts count="14"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b/>
      <sz val="11"/>
      <color theme="0"/>
      <name val="맑은 고딕"/>
      <family val="2"/>
      <charset val="129"/>
      <scheme val="minor"/>
    </font>
    <font>
      <b/>
      <sz val="11"/>
      <color theme="1"/>
      <name val="맑은 고딕"/>
      <family val="3"/>
      <charset val="129"/>
      <scheme val="minor"/>
    </font>
    <font>
      <b/>
      <sz val="11"/>
      <color theme="0"/>
      <name val="맑은 고딕"/>
      <family val="3"/>
      <charset val="129"/>
      <scheme val="minor"/>
    </font>
    <font>
      <sz val="11"/>
      <color theme="1"/>
      <name val="맑은 고딕"/>
      <family val="2"/>
      <charset val="129"/>
    </font>
    <font>
      <sz val="11"/>
      <color theme="1"/>
      <name val="Times New Roman"/>
      <family val="1"/>
    </font>
    <font>
      <sz val="11"/>
      <color theme="3"/>
      <name val="맑은 고딕"/>
      <family val="2"/>
      <charset val="129"/>
    </font>
    <font>
      <sz val="11"/>
      <color theme="3"/>
      <name val="Times New Roman"/>
      <family val="1"/>
    </font>
    <font>
      <b/>
      <sz val="11"/>
      <color theme="9"/>
      <name val="Times New Roman"/>
      <family val="1"/>
    </font>
    <font>
      <i/>
      <sz val="10"/>
      <color theme="3"/>
      <name val="Times New Roman"/>
      <family val="1"/>
    </font>
    <font>
      <i/>
      <sz val="10"/>
      <color theme="1"/>
      <name val="Times New Roman"/>
      <family val="1"/>
    </font>
    <font>
      <b/>
      <sz val="11"/>
      <color theme="9"/>
      <name val="Segoe UI Emoji"/>
      <family val="2"/>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tint="-0.249977111117893"/>
        <bgColor theme="4"/>
      </patternFill>
    </fill>
    <fill>
      <patternFill patternType="solid">
        <fgColor theme="7" tint="-0.249977111117893"/>
        <bgColor theme="4" tint="0.79998168889431442"/>
      </patternFill>
    </fill>
    <fill>
      <patternFill patternType="solid">
        <fgColor theme="7" tint="-0.249977111117893"/>
        <bgColor indexed="64"/>
      </patternFill>
    </fill>
    <fill>
      <patternFill patternType="solid">
        <fgColor theme="7" tint="0.79998168889431442"/>
        <bgColor indexed="64"/>
      </patternFill>
    </fill>
    <fill>
      <patternFill patternType="solid">
        <fgColor theme="0" tint="-0.14999847407452621"/>
        <bgColor indexed="64"/>
      </patternFill>
    </fill>
  </fills>
  <borders count="31">
    <border>
      <left/>
      <right/>
      <top/>
      <bottom/>
      <diagonal/>
    </border>
    <border>
      <left/>
      <right/>
      <top style="thin">
        <color theme="4" tint="0.39997558519241921"/>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4" tint="0.39997558519241921"/>
      </top>
      <bottom style="thin">
        <color theme="4" tint="0.39997558519241921"/>
      </bottom>
      <diagonal/>
    </border>
    <border>
      <left/>
      <right style="medium">
        <color indexed="64"/>
      </right>
      <top style="thin">
        <color theme="4" tint="0.39997558519241921"/>
      </top>
      <bottom/>
      <diagonal/>
    </border>
    <border>
      <left style="medium">
        <color indexed="64"/>
      </left>
      <right/>
      <top style="thin">
        <color theme="4" tint="0.39997558519241921"/>
      </top>
      <bottom style="medium">
        <color indexed="64"/>
      </bottom>
      <diagonal/>
    </border>
    <border>
      <left/>
      <right/>
      <top style="thin">
        <color theme="4" tint="0.39997558519241921"/>
      </top>
      <bottom style="medium">
        <color indexed="64"/>
      </bottom>
      <diagonal/>
    </border>
    <border>
      <left style="medium">
        <color indexed="64"/>
      </left>
      <right/>
      <top style="medium">
        <color indexed="64"/>
      </top>
      <bottom style="thin">
        <color theme="4" tint="0.39997558519241921"/>
      </bottom>
      <diagonal/>
    </border>
    <border>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right style="medium">
        <color indexed="64"/>
      </right>
      <top style="thin">
        <color theme="4" tint="0.39997558519241921"/>
      </top>
      <bottom style="thin">
        <color theme="4" tint="0.39997558519241921"/>
      </bottom>
      <diagonal/>
    </border>
    <border>
      <left/>
      <right style="medium">
        <color indexed="64"/>
      </right>
      <top style="thin">
        <color theme="4" tint="0.39997558519241921"/>
      </top>
      <bottom style="medium">
        <color indexed="64"/>
      </bottom>
      <diagonal/>
    </border>
    <border>
      <left style="medium">
        <color indexed="64"/>
      </left>
      <right style="medium">
        <color indexed="64"/>
      </right>
      <top style="medium">
        <color indexed="64"/>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88">
    <xf numFmtId="0" fontId="0" fillId="0" borderId="0" xfId="0">
      <alignment vertical="center"/>
    </xf>
    <xf numFmtId="3" fontId="0" fillId="0" borderId="0" xfId="0" applyNumberFormat="1">
      <alignment vertical="center"/>
    </xf>
    <xf numFmtId="176" fontId="0" fillId="0" borderId="0" xfId="0" applyNumberFormat="1">
      <alignment vertical="center"/>
    </xf>
    <xf numFmtId="9" fontId="0" fillId="0" borderId="0" xfId="0" applyNumberFormat="1">
      <alignment vertical="center"/>
    </xf>
    <xf numFmtId="9" fontId="0" fillId="0" borderId="0" xfId="2" applyFont="1">
      <alignment vertical="center"/>
    </xf>
    <xf numFmtId="41" fontId="0" fillId="0" borderId="0" xfId="1" applyFont="1">
      <alignment vertical="center"/>
    </xf>
    <xf numFmtId="177" fontId="0" fillId="0" borderId="0" xfId="2" applyNumberFormat="1" applyFont="1">
      <alignment vertical="center"/>
    </xf>
    <xf numFmtId="178" fontId="0" fillId="0" borderId="0" xfId="2" applyNumberFormat="1" applyFont="1">
      <alignment vertical="center"/>
    </xf>
    <xf numFmtId="176" fontId="0" fillId="0" borderId="0" xfId="2" applyNumberFormat="1" applyFont="1">
      <alignment vertical="center"/>
    </xf>
    <xf numFmtId="176" fontId="0" fillId="0" borderId="0" xfId="1" applyNumberFormat="1" applyFont="1">
      <alignment vertical="center"/>
    </xf>
    <xf numFmtId="10" fontId="0" fillId="0" borderId="0" xfId="2" applyNumberFormat="1" applyFont="1">
      <alignment vertical="center"/>
    </xf>
    <xf numFmtId="0" fontId="3" fillId="2" borderId="1" xfId="0" applyFont="1" applyFill="1" applyBorder="1">
      <alignment vertical="center"/>
    </xf>
    <xf numFmtId="179" fontId="0" fillId="0" borderId="0" xfId="2" applyNumberFormat="1" applyFont="1">
      <alignment vertical="center"/>
    </xf>
    <xf numFmtId="180" fontId="0" fillId="0" borderId="0" xfId="2" applyNumberFormat="1" applyFont="1">
      <alignment vertical="center"/>
    </xf>
    <xf numFmtId="0" fontId="4" fillId="0" borderId="0" xfId="0" applyFont="1">
      <alignment vertical="center"/>
    </xf>
    <xf numFmtId="176" fontId="4" fillId="0" borderId="0" xfId="0" applyNumberFormat="1" applyFont="1">
      <alignment vertical="center"/>
    </xf>
    <xf numFmtId="10" fontId="4" fillId="0" borderId="0" xfId="2" applyNumberFormat="1" applyFont="1">
      <alignment vertical="center"/>
    </xf>
    <xf numFmtId="10" fontId="0" fillId="0" borderId="0" xfId="0" applyNumberFormat="1">
      <alignment vertical="center"/>
    </xf>
    <xf numFmtId="176" fontId="0" fillId="3" borderId="1" xfId="0" applyNumberFormat="1" applyFill="1" applyBorder="1">
      <alignment vertical="center"/>
    </xf>
    <xf numFmtId="0" fontId="3" fillId="0" borderId="0" xfId="0" applyFont="1">
      <alignment vertical="center"/>
    </xf>
    <xf numFmtId="179" fontId="0" fillId="0" borderId="0" xfId="2" applyNumberFormat="1" applyFont="1" applyFill="1" applyBorder="1">
      <alignment vertical="center"/>
    </xf>
    <xf numFmtId="179" fontId="0" fillId="3" borderId="1" xfId="0" applyNumberFormat="1" applyFill="1" applyBorder="1">
      <alignment vertical="center"/>
    </xf>
    <xf numFmtId="0" fontId="3" fillId="2" borderId="5" xfId="0" applyFont="1" applyFill="1" applyBorder="1">
      <alignment vertical="center"/>
    </xf>
    <xf numFmtId="0" fontId="3" fillId="2" borderId="6" xfId="0" applyFont="1" applyFill="1" applyBorder="1">
      <alignment vertical="center"/>
    </xf>
    <xf numFmtId="176" fontId="0" fillId="3" borderId="5" xfId="0" applyNumberFormat="1" applyFill="1" applyBorder="1">
      <alignment vertical="center"/>
    </xf>
    <xf numFmtId="176" fontId="0" fillId="3" borderId="7" xfId="0" applyNumberFormat="1" applyFill="1" applyBorder="1">
      <alignment vertical="center"/>
    </xf>
    <xf numFmtId="176" fontId="0" fillId="3" borderId="8" xfId="0" applyNumberFormat="1" applyFill="1" applyBorder="1">
      <alignment vertical="center"/>
    </xf>
    <xf numFmtId="179" fontId="0" fillId="3" borderId="8" xfId="0" applyNumberFormat="1" applyFill="1" applyBorder="1">
      <alignment vertical="center"/>
    </xf>
    <xf numFmtId="179" fontId="0" fillId="3" borderId="12" xfId="0" applyNumberFormat="1" applyFill="1" applyBorder="1">
      <alignment vertical="center"/>
    </xf>
    <xf numFmtId="179" fontId="0" fillId="3" borderId="13" xfId="0" applyNumberFormat="1" applyFill="1" applyBorder="1">
      <alignment vertical="center"/>
    </xf>
    <xf numFmtId="0" fontId="5" fillId="5" borderId="15" xfId="0" applyFont="1" applyFill="1" applyBorder="1">
      <alignment vertical="center"/>
    </xf>
    <xf numFmtId="0" fontId="5" fillId="5" borderId="14" xfId="0" applyFont="1" applyFill="1" applyBorder="1">
      <alignment vertical="center"/>
    </xf>
    <xf numFmtId="0" fontId="5" fillId="6" borderId="15" xfId="0" applyFont="1" applyFill="1" applyBorder="1">
      <alignment vertical="center"/>
    </xf>
    <xf numFmtId="0" fontId="5" fillId="7" borderId="15" xfId="0" applyFont="1" applyFill="1" applyBorder="1">
      <alignment vertical="center"/>
    </xf>
    <xf numFmtId="0" fontId="5" fillId="6" borderId="16" xfId="0" applyFont="1" applyFill="1" applyBorder="1">
      <alignment vertical="center"/>
    </xf>
    <xf numFmtId="0" fontId="5" fillId="0" borderId="0" xfId="0" applyFont="1">
      <alignment vertical="center"/>
    </xf>
    <xf numFmtId="10" fontId="0" fillId="8" borderId="17" xfId="0" applyNumberFormat="1" applyFill="1" applyBorder="1">
      <alignment vertical="center"/>
    </xf>
    <xf numFmtId="182" fontId="0" fillId="0" borderId="0" xfId="0" applyNumberFormat="1">
      <alignment vertical="center"/>
    </xf>
    <xf numFmtId="183" fontId="0" fillId="0" borderId="0" xfId="0" applyNumberFormat="1">
      <alignment vertical="center"/>
    </xf>
    <xf numFmtId="181" fontId="0" fillId="0" borderId="0" xfId="2" applyNumberFormat="1" applyFont="1">
      <alignment vertical="center"/>
    </xf>
    <xf numFmtId="184" fontId="0" fillId="0" borderId="0" xfId="0" applyNumberFormat="1">
      <alignment vertical="center"/>
    </xf>
    <xf numFmtId="0" fontId="5" fillId="5" borderId="9" xfId="0" applyFont="1" applyFill="1" applyBorder="1">
      <alignment vertical="center"/>
    </xf>
    <xf numFmtId="0" fontId="5" fillId="6" borderId="5" xfId="0" applyFont="1" applyFill="1" applyBorder="1">
      <alignment vertical="center"/>
    </xf>
    <xf numFmtId="0" fontId="5" fillId="7" borderId="5" xfId="0" applyFont="1" applyFill="1" applyBorder="1">
      <alignment vertical="center"/>
    </xf>
    <xf numFmtId="0" fontId="5" fillId="6" borderId="7" xfId="0" applyFont="1" applyFill="1" applyBorder="1">
      <alignment vertical="center"/>
    </xf>
    <xf numFmtId="10" fontId="0" fillId="3" borderId="17" xfId="2" applyNumberFormat="1" applyFont="1" applyFill="1" applyBorder="1">
      <alignment vertical="center"/>
    </xf>
    <xf numFmtId="10" fontId="0" fillId="4" borderId="17" xfId="2" applyNumberFormat="1" applyFont="1" applyFill="1" applyBorder="1">
      <alignment vertical="center"/>
    </xf>
    <xf numFmtId="0" fontId="3" fillId="2" borderId="18" xfId="0" applyFont="1" applyFill="1" applyBorder="1">
      <alignment vertical="center"/>
    </xf>
    <xf numFmtId="0" fontId="3" fillId="2" borderId="19" xfId="0" applyFont="1" applyFill="1" applyBorder="1">
      <alignment vertical="center"/>
    </xf>
    <xf numFmtId="0" fontId="3" fillId="2" borderId="20" xfId="0" applyFont="1" applyFill="1" applyBorder="1">
      <alignment vertical="center"/>
    </xf>
    <xf numFmtId="10" fontId="0" fillId="3" borderId="21" xfId="2" applyNumberFormat="1" applyFont="1" applyFill="1" applyBorder="1">
      <alignment vertical="center"/>
    </xf>
    <xf numFmtId="10" fontId="0" fillId="3" borderId="22" xfId="2" applyNumberFormat="1" applyFont="1" applyFill="1" applyBorder="1">
      <alignment vertical="center"/>
    </xf>
    <xf numFmtId="10" fontId="0" fillId="3" borderId="23" xfId="2" applyNumberFormat="1" applyFont="1" applyFill="1" applyBorder="1">
      <alignment vertical="center"/>
    </xf>
    <xf numFmtId="10" fontId="0" fillId="3" borderId="24" xfId="2" applyNumberFormat="1" applyFont="1" applyFill="1" applyBorder="1">
      <alignment vertical="center"/>
    </xf>
    <xf numFmtId="10" fontId="0" fillId="4" borderId="24" xfId="2" applyNumberFormat="1" applyFont="1" applyFill="1" applyBorder="1">
      <alignment vertical="center"/>
    </xf>
    <xf numFmtId="10" fontId="0" fillId="3" borderId="25" xfId="2" applyNumberFormat="1" applyFont="1" applyFill="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10" fontId="0" fillId="8" borderId="21" xfId="0" applyNumberFormat="1" applyFill="1" applyBorder="1">
      <alignment vertical="center"/>
    </xf>
    <xf numFmtId="10" fontId="0" fillId="8" borderId="22" xfId="0" applyNumberFormat="1" applyFill="1" applyBorder="1">
      <alignment vertical="center"/>
    </xf>
    <xf numFmtId="10" fontId="0" fillId="8" borderId="23" xfId="0" applyNumberFormat="1" applyFill="1" applyBorder="1">
      <alignment vertical="center"/>
    </xf>
    <xf numFmtId="10" fontId="0" fillId="8" borderId="24" xfId="0" applyNumberFormat="1" applyFill="1" applyBorder="1">
      <alignment vertical="center"/>
    </xf>
    <xf numFmtId="10" fontId="0" fillId="8" borderId="25" xfId="0" applyNumberFormat="1" applyFill="1" applyBorder="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6" fillId="9" borderId="2"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26" xfId="0" applyFont="1" applyFill="1" applyBorder="1" applyAlignment="1">
      <alignment horizontal="center" vertical="center" wrapText="1"/>
    </xf>
    <xf numFmtId="0" fontId="6" fillId="9" borderId="0" xfId="0" applyFont="1" applyFill="1" applyBorder="1" applyAlignment="1">
      <alignment horizontal="center" vertical="center" wrapText="1"/>
    </xf>
    <xf numFmtId="0" fontId="6" fillId="9" borderId="27" xfId="0" applyFont="1" applyFill="1" applyBorder="1" applyAlignment="1">
      <alignment horizontal="center" vertical="center" wrapText="1"/>
    </xf>
    <xf numFmtId="0" fontId="6" fillId="9" borderId="28"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8" fillId="9" borderId="29" xfId="0" applyFont="1" applyFill="1" applyBorder="1" applyAlignment="1">
      <alignment horizontal="center" vertical="center" wrapText="1"/>
    </xf>
    <xf numFmtId="0" fontId="8" fillId="9" borderId="30" xfId="0" applyFont="1" applyFill="1" applyBorder="1" applyAlignment="1">
      <alignment horizontal="center" vertical="center" wrapText="1"/>
    </xf>
  </cellXfs>
  <cellStyles count="3">
    <cellStyle name="백분율" xfId="2" builtinId="5"/>
    <cellStyle name="쉼표 [0]" xfId="1" builtinId="6"/>
    <cellStyle name="표준" xfId="0" builtinId="0"/>
  </cellStyles>
  <dxfs count="82">
    <dxf>
      <numFmt numFmtId="179" formatCode="0.0%"/>
    </dxf>
    <dxf>
      <numFmt numFmtId="179" formatCode="0.0%"/>
    </dxf>
    <dxf>
      <font>
        <b/>
        <family val="3"/>
      </font>
      <numFmt numFmtId="176" formatCode="_-[$$-409]* #,##0_ ;_-[$$-409]* \-#,##0\ ;_-[$$-409]* &quot;-&quot;??_ ;_-@_ "/>
    </dxf>
    <dxf>
      <font>
        <b/>
        <family val="3"/>
      </font>
      <numFmt numFmtId="176" formatCode="_-[$$-409]* #,##0_ ;_-[$$-409]* \-#,##0\ ;_-[$$-409]* &quot;-&quot;??_ ;_-@_ "/>
    </dxf>
    <dxf>
      <font>
        <b/>
        <family val="3"/>
      </font>
      <numFmt numFmtId="176" formatCode="_-[$$-409]* #,##0_ ;_-[$$-409]* \-#,##0\ ;_-[$$-409]* &quot;-&quot;??_ ;_-@_ "/>
    </dxf>
    <dxf>
      <numFmt numFmtId="176" formatCode="_-[$$-409]* #,##0_ ;_-[$$-409]* \-#,##0\ ;_-[$$-409]* &quot;-&quot;??_ ;_-@_ "/>
    </dxf>
    <dxf>
      <font>
        <b/>
        <family val="3"/>
      </font>
      <numFmt numFmtId="176" formatCode="_-[$$-409]* #,##0_ ;_-[$$-409]* \-#,##0\ ;_-[$$-409]* &quot;-&quot;??_ ;_-@_ "/>
    </dxf>
    <dxf>
      <numFmt numFmtId="13" formatCode="0%"/>
    </dxf>
    <dxf>
      <numFmt numFmtId="176" formatCode="_-[$$-409]* #,##0_ ;_-[$$-409]* \-#,##0\ ;_-[$$-409]* &quot;-&quot;??_ ;_-@_ "/>
    </dxf>
    <dxf>
      <font>
        <b/>
        <family val="3"/>
      </font>
      <numFmt numFmtId="176" formatCode="_-[$$-409]* #,##0_ ;_-[$$-409]* \-#,##0\ ;_-[$$-409]* &quot;-&quot;??_ ;_-@_ "/>
    </dxf>
    <dxf>
      <font>
        <b/>
        <family val="3"/>
      </font>
      <numFmt numFmtId="14" formatCode="0.00%"/>
    </dxf>
    <dxf>
      <numFmt numFmtId="176" formatCode="_-[$$-409]* #,##0_ ;_-[$$-409]* \-#,##0\ ;_-[$$-409]* &quot;-&quot;??_ ;_-@_ "/>
    </dxf>
    <dxf>
      <numFmt numFmtId="179" formatCode="0.0%"/>
    </dxf>
    <dxf>
      <numFmt numFmtId="179" formatCode="0.0%"/>
    </dxf>
    <dxf>
      <font>
        <b/>
        <family val="3"/>
      </font>
      <numFmt numFmtId="176" formatCode="_-[$$-409]* #,##0_ ;_-[$$-409]* \-#,##0\ ;_-[$$-409]* &quot;-&quot;??_ ;_-@_ "/>
    </dxf>
    <dxf>
      <font>
        <b/>
        <family val="3"/>
      </font>
      <numFmt numFmtId="176" formatCode="_-[$$-409]* #,##0_ ;_-[$$-409]* \-#,##0\ ;_-[$$-409]* &quot;-&quot;??_ ;_-@_ "/>
    </dxf>
    <dxf>
      <font>
        <b/>
        <family val="3"/>
      </font>
      <numFmt numFmtId="176" formatCode="_-[$$-409]* #,##0_ ;_-[$$-409]* \-#,##0\ ;_-[$$-409]* &quot;-&quot;??_ ;_-@_ "/>
    </dxf>
    <dxf>
      <numFmt numFmtId="176" formatCode="_-[$$-409]* #,##0_ ;_-[$$-409]* \-#,##0\ ;_-[$$-409]* &quot;-&quot;??_ ;_-@_ "/>
    </dxf>
    <dxf>
      <font>
        <b/>
        <family val="3"/>
      </font>
      <numFmt numFmtId="176" formatCode="_-[$$-409]* #,##0_ ;_-[$$-409]* \-#,##0\ ;_-[$$-409]* &quot;-&quot;??_ ;_-@_ "/>
    </dxf>
    <dxf>
      <numFmt numFmtId="13" formatCode="0%"/>
    </dxf>
    <dxf>
      <numFmt numFmtId="176" formatCode="_-[$$-409]* #,##0_ ;_-[$$-409]* \-#,##0\ ;_-[$$-409]* &quot;-&quot;??_ ;_-@_ "/>
    </dxf>
    <dxf>
      <font>
        <b/>
        <family val="3"/>
      </font>
      <numFmt numFmtId="176" formatCode="_-[$$-409]* #,##0_ ;_-[$$-409]* \-#,##0\ ;_-[$$-409]* &quot;-&quot;??_ ;_-@_ "/>
    </dxf>
    <dxf>
      <font>
        <b/>
        <family val="3"/>
      </font>
      <numFmt numFmtId="14" formatCode="0.00%"/>
    </dxf>
    <dxf>
      <numFmt numFmtId="176" formatCode="_-[$$-409]* #,##0_ ;_-[$$-409]* \-#,##0\ ;_-[$$-409]* &quot;-&quot;??_ ;_-@_ "/>
    </dxf>
    <dxf>
      <numFmt numFmtId="179" formatCode="0.0%"/>
    </dxf>
    <dxf>
      <numFmt numFmtId="179" formatCode="0.0%"/>
    </dxf>
    <dxf>
      <font>
        <b/>
        <family val="3"/>
      </font>
      <numFmt numFmtId="176" formatCode="_-[$$-409]* #,##0_ ;_-[$$-409]* \-#,##0\ ;_-[$$-409]* &quot;-&quot;??_ ;_-@_ "/>
    </dxf>
    <dxf>
      <font>
        <b/>
        <family val="3"/>
      </font>
      <numFmt numFmtId="176" formatCode="_-[$$-409]* #,##0_ ;_-[$$-409]* \-#,##0\ ;_-[$$-409]* &quot;-&quot;??_ ;_-@_ "/>
    </dxf>
    <dxf>
      <font>
        <b/>
        <family val="3"/>
      </font>
      <numFmt numFmtId="176" formatCode="_-[$$-409]* #,##0_ ;_-[$$-409]* \-#,##0\ ;_-[$$-409]* &quot;-&quot;??_ ;_-@_ "/>
    </dxf>
    <dxf>
      <numFmt numFmtId="176" formatCode="_-[$$-409]* #,##0_ ;_-[$$-409]* \-#,##0\ ;_-[$$-409]* &quot;-&quot;??_ ;_-@_ "/>
    </dxf>
    <dxf>
      <font>
        <b/>
        <family val="3"/>
      </font>
      <numFmt numFmtId="176" formatCode="_-[$$-409]* #,##0_ ;_-[$$-409]* \-#,##0\ ;_-[$$-409]* &quot;-&quot;??_ ;_-@_ "/>
    </dxf>
    <dxf>
      <numFmt numFmtId="13" formatCode="0%"/>
    </dxf>
    <dxf>
      <numFmt numFmtId="176" formatCode="_-[$$-409]* #,##0_ ;_-[$$-409]* \-#,##0\ ;_-[$$-409]* &quot;-&quot;??_ ;_-@_ "/>
    </dxf>
    <dxf>
      <font>
        <b/>
        <family val="3"/>
      </font>
      <numFmt numFmtId="176" formatCode="_-[$$-409]* #,##0_ ;_-[$$-409]* \-#,##0\ ;_-[$$-409]* &quot;-&quot;??_ ;_-@_ "/>
    </dxf>
    <dxf>
      <font>
        <b/>
        <family val="3"/>
      </font>
      <numFmt numFmtId="14" formatCode="0.00%"/>
    </dxf>
    <dxf>
      <numFmt numFmtId="176" formatCode="_-[$$-409]* #,##0_ ;_-[$$-409]* \-#,##0\ ;_-[$$-409]* &quot;-&quot;??_ ;_-@_ "/>
    </dxf>
    <dxf>
      <numFmt numFmtId="179" formatCode="0.0%"/>
    </dxf>
    <dxf>
      <numFmt numFmtId="179" formatCode="0.0%"/>
    </dxf>
    <dxf>
      <font>
        <b/>
        <family val="3"/>
      </font>
      <numFmt numFmtId="176" formatCode="_-[$$-409]* #,##0_ ;_-[$$-409]* \-#,##0\ ;_-[$$-409]* &quot;-&quot;??_ ;_-@_ "/>
    </dxf>
    <dxf>
      <font>
        <b/>
        <family val="3"/>
      </font>
      <numFmt numFmtId="176" formatCode="_-[$$-409]* #,##0_ ;_-[$$-409]* \-#,##0\ ;_-[$$-409]* &quot;-&quot;??_ ;_-@_ "/>
    </dxf>
    <dxf>
      <font>
        <b/>
        <family val="3"/>
      </font>
      <numFmt numFmtId="176" formatCode="_-[$$-409]* #,##0_ ;_-[$$-409]* \-#,##0\ ;_-[$$-409]* &quot;-&quot;??_ ;_-@_ "/>
    </dxf>
    <dxf>
      <numFmt numFmtId="176" formatCode="_-[$$-409]* #,##0_ ;_-[$$-409]* \-#,##0\ ;_-[$$-409]* &quot;-&quot;??_ ;_-@_ "/>
    </dxf>
    <dxf>
      <font>
        <b/>
        <family val="3"/>
      </font>
      <numFmt numFmtId="176" formatCode="_-[$$-409]* #,##0_ ;_-[$$-409]* \-#,##0\ ;_-[$$-409]* &quot;-&quot;??_ ;_-@_ "/>
    </dxf>
    <dxf>
      <numFmt numFmtId="13" formatCode="0%"/>
    </dxf>
    <dxf>
      <numFmt numFmtId="176" formatCode="_-[$$-409]* #,##0_ ;_-[$$-409]* \-#,##0\ ;_-[$$-409]* &quot;-&quot;??_ ;_-@_ "/>
    </dxf>
    <dxf>
      <font>
        <b/>
        <family val="3"/>
      </font>
      <numFmt numFmtId="176" formatCode="_-[$$-409]* #,##0_ ;_-[$$-409]* \-#,##0\ ;_-[$$-409]* &quot;-&quot;??_ ;_-@_ "/>
    </dxf>
    <dxf>
      <font>
        <b/>
        <family val="3"/>
      </font>
      <numFmt numFmtId="14" formatCode="0.00%"/>
    </dxf>
    <dxf>
      <numFmt numFmtId="176" formatCode="_-[$$-409]* #,##0_ ;_-[$$-409]* \-#,##0\ ;_-[$$-409]* &quot;-&quot;??_ ;_-@_ "/>
    </dxf>
    <dxf>
      <numFmt numFmtId="179" formatCode="0.0%"/>
    </dxf>
    <dxf>
      <numFmt numFmtId="179" formatCode="0.0%"/>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3" formatCode="0%"/>
    </dxf>
    <dxf>
      <numFmt numFmtId="176" formatCode="_-[$$-409]* #,##0_ ;_-[$$-409]* \-#,##0\ ;_-[$$-409]* &quot;-&quot;??_ ;_-@_ "/>
    </dxf>
    <dxf>
      <numFmt numFmtId="176" formatCode="_-[$$-409]* #,##0_ ;_-[$$-409]* \-#,##0\ ;_-[$$-409]* &quot;-&quot;??_ ;_-@_ "/>
    </dxf>
    <dxf>
      <numFmt numFmtId="14" formatCode="0.00%"/>
    </dxf>
    <dxf>
      <numFmt numFmtId="176" formatCode="_-[$$-409]* #,##0_ ;_-[$$-409]* \-#,##0\ ;_-[$$-409]* &quot;-&quot;??_ ;_-@_ "/>
    </dxf>
    <dxf>
      <numFmt numFmtId="179" formatCode="0.0%"/>
    </dxf>
    <dxf>
      <numFmt numFmtId="179" formatCode="0.0%"/>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76" formatCode="_-[$$-409]* #,##0_ ;_-[$$-409]* \-#,##0\ ;_-[$$-409]* &quot;-&quot;??_ ;_-@_ "/>
    </dxf>
    <dxf>
      <numFmt numFmtId="13" formatCode="0%"/>
    </dxf>
    <dxf>
      <numFmt numFmtId="176" formatCode="_-[$$-409]* #,##0_ ;_-[$$-409]* \-#,##0\ ;_-[$$-409]* &quot;-&quot;??_ ;_-@_ "/>
    </dxf>
    <dxf>
      <numFmt numFmtId="176" formatCode="_-[$$-409]* #,##0_ ;_-[$$-409]* \-#,##0\ ;_-[$$-409]* &quot;-&quot;??_ ;_-@_ "/>
    </dxf>
    <dxf>
      <numFmt numFmtId="14" formatCode="0.00%"/>
    </dxf>
    <dxf>
      <numFmt numFmtId="176" formatCode="_-[$$-409]* #,##0_ ;_-[$$-409]* \-#,##0\ ;_-[$$-409]* &quot;-&quot;??_ ;_-@_ "/>
    </dxf>
    <dxf>
      <numFmt numFmtId="176" formatCode="_-[$$-409]* #,##0_ ;_-[$$-409]* \-#,##0\ ;_-[$$-409]* &quot;-&quot;??_ ;_-@_ "/>
    </dxf>
    <dxf>
      <numFmt numFmtId="13" formatCode="0%"/>
    </dxf>
    <dxf>
      <numFmt numFmtId="176" formatCode="_-[$$-409]* #,##0_ ;_-[$$-409]* \-#,##0\ ;_-[$$-409]* &quot;-&quot;??_ ;_-@_ "/>
    </dxf>
    <dxf>
      <numFmt numFmtId="176" formatCode="_-[$$-409]* #,##0_ ;_-[$$-409]* \-#,##0\ ;_-[$$-409]* &quot;-&quot;??_ ;_-@_ "/>
    </dxf>
    <dxf>
      <font>
        <b val="0"/>
        <i val="0"/>
        <strike val="0"/>
        <condense val="0"/>
        <extend val="0"/>
        <outline val="0"/>
        <shadow val="0"/>
        <u val="none"/>
        <vertAlign val="baseline"/>
        <sz val="11"/>
        <color theme="1"/>
        <name val="맑은 고딕"/>
        <family val="2"/>
        <charset val="129"/>
        <scheme val="minor"/>
      </font>
      <numFmt numFmtId="176" formatCode="_-[$$-409]* #,##0_ ;_-[$$-409]* \-#,##0\ ;_-[$$-409]* &quot;-&quot;??_ ;_-@_ "/>
    </dxf>
    <dxf>
      <font>
        <b val="0"/>
        <i val="0"/>
        <strike val="0"/>
        <condense val="0"/>
        <extend val="0"/>
        <outline val="0"/>
        <shadow val="0"/>
        <u val="none"/>
        <vertAlign val="baseline"/>
        <sz val="11"/>
        <color theme="1"/>
        <name val="맑은 고딕"/>
        <family val="2"/>
        <charset val="129"/>
        <scheme val="minor"/>
      </font>
      <numFmt numFmtId="178" formatCode="0.00_);[Red]\(0.00\)"/>
    </dxf>
    <dxf>
      <font>
        <b val="0"/>
        <i val="0"/>
        <strike val="0"/>
        <condense val="0"/>
        <extend val="0"/>
        <outline val="0"/>
        <shadow val="0"/>
        <u val="none"/>
        <vertAlign val="baseline"/>
        <sz val="11"/>
        <color theme="1"/>
        <name val="맑은 고딕"/>
        <family val="2"/>
        <charset val="129"/>
        <scheme val="minor"/>
      </font>
    </dxf>
    <dxf>
      <font>
        <b val="0"/>
        <i val="0"/>
        <strike val="0"/>
        <condense val="0"/>
        <extend val="0"/>
        <outline val="0"/>
        <shadow val="0"/>
        <u val="none"/>
        <vertAlign val="baseline"/>
        <sz val="11"/>
        <color theme="1"/>
        <name val="맑은 고딕"/>
        <family val="2"/>
        <charset val="129"/>
        <scheme val="minor"/>
      </font>
    </dxf>
    <dxf>
      <font>
        <b val="0"/>
        <i val="0"/>
        <strike val="0"/>
        <condense val="0"/>
        <extend val="0"/>
        <outline val="0"/>
        <shadow val="0"/>
        <u val="none"/>
        <vertAlign val="baseline"/>
        <sz val="11"/>
        <color theme="1"/>
        <name val="맑은 고딕"/>
        <family val="2"/>
        <charset val="129"/>
        <scheme val="minor"/>
      </font>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altLang="ko-KR" i="1"/>
              <a:t>Investor</a:t>
            </a:r>
            <a:r>
              <a:rPr lang="en-US" altLang="ko-KR" i="1" baseline="0"/>
              <a:t> ROI %</a:t>
            </a:r>
          </a:p>
          <a:p>
            <a:pPr>
              <a:defRPr i="1"/>
            </a:pPr>
            <a:r>
              <a:rPr lang="en-US" altLang="ko-KR" i="1" baseline="0"/>
              <a:t>(Option Used)</a:t>
            </a:r>
            <a:endParaRPr lang="ko-KR" altLang="en-US" i="1"/>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Summarize!$D$2</c:f>
              <c:strCache>
                <c:ptCount val="1"/>
                <c:pt idx="0">
                  <c:v>Founders (Opt)</c:v>
                </c:pt>
              </c:strCache>
            </c:strRef>
          </c:tx>
          <c:spPr>
            <a:ln w="38100" cap="rnd">
              <a:solidFill>
                <a:schemeClr val="accent4">
                  <a:shade val="50000"/>
                </a:schemeClr>
              </a:solidFill>
              <a:round/>
            </a:ln>
            <a:effectLst/>
          </c:spPr>
          <c:marker>
            <c:symbol val="circle"/>
            <c:size val="5"/>
            <c:spPr>
              <a:solidFill>
                <a:schemeClr val="accent4">
                  <a:shade val="50000"/>
                </a:schemeClr>
              </a:solidFill>
              <a:ln w="9525">
                <a:solidFill>
                  <a:schemeClr val="accent4">
                    <a:shade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Summarize!$D$3:$D$7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E0A-42CF-BF47-DC763392D68F}"/>
            </c:ext>
          </c:extLst>
        </c:ser>
        <c:ser>
          <c:idx val="1"/>
          <c:order val="1"/>
          <c:tx>
            <c:strRef>
              <c:f>Summarize!$H$2</c:f>
              <c:strCache>
                <c:ptCount val="1"/>
                <c:pt idx="0">
                  <c:v>Pre-seed (Opt)</c:v>
                </c:pt>
              </c:strCache>
            </c:strRef>
          </c:tx>
          <c:spPr>
            <a:ln w="38100" cap="rnd">
              <a:solidFill>
                <a:schemeClr val="accent4">
                  <a:shade val="70000"/>
                </a:schemeClr>
              </a:solidFill>
              <a:round/>
            </a:ln>
            <a:effectLst/>
          </c:spPr>
          <c:marker>
            <c:symbol val="circle"/>
            <c:size val="5"/>
            <c:spPr>
              <a:solidFill>
                <a:schemeClr val="accent4">
                  <a:shade val="70000"/>
                </a:schemeClr>
              </a:solidFill>
              <a:ln w="9525">
                <a:solidFill>
                  <a:schemeClr val="accent4">
                    <a:shade val="7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Summarize!$H$3:$H$7</c:f>
              <c:numCache>
                <c:formatCode>0.0%</c:formatCode>
                <c:ptCount val="5"/>
                <c:pt idx="0">
                  <c:v>8.1</c:v>
                </c:pt>
                <c:pt idx="1">
                  <c:v>15.3</c:v>
                </c:pt>
                <c:pt idx="2">
                  <c:v>40.5</c:v>
                </c:pt>
                <c:pt idx="3">
                  <c:v>76.5</c:v>
                </c:pt>
                <c:pt idx="4">
                  <c:v>124.5</c:v>
                </c:pt>
              </c:numCache>
            </c:numRef>
          </c:val>
          <c:smooth val="0"/>
          <c:extLst>
            <c:ext xmlns:c16="http://schemas.microsoft.com/office/drawing/2014/chart" uri="{C3380CC4-5D6E-409C-BE32-E72D297353CC}">
              <c16:uniqueId val="{00000001-1E0A-42CF-BF47-DC763392D68F}"/>
            </c:ext>
          </c:extLst>
        </c:ser>
        <c:ser>
          <c:idx val="2"/>
          <c:order val="2"/>
          <c:tx>
            <c:strRef>
              <c:f>Summarize!$L$2</c:f>
              <c:strCache>
                <c:ptCount val="1"/>
                <c:pt idx="0">
                  <c:v>Seed (Opt)</c:v>
                </c:pt>
              </c:strCache>
            </c:strRef>
          </c:tx>
          <c:spPr>
            <a:ln w="38100" cap="rnd">
              <a:solidFill>
                <a:schemeClr val="accent4">
                  <a:shade val="90000"/>
                </a:schemeClr>
              </a:solidFill>
              <a:round/>
            </a:ln>
            <a:effectLst/>
          </c:spPr>
          <c:marker>
            <c:symbol val="circle"/>
            <c:size val="5"/>
            <c:spPr>
              <a:solidFill>
                <a:schemeClr val="accent4">
                  <a:shade val="90000"/>
                </a:schemeClr>
              </a:solidFill>
              <a:ln w="9525">
                <a:solidFill>
                  <a:schemeClr val="accent4">
                    <a:shade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Summarize!$L$3:$L$7</c:f>
              <c:numCache>
                <c:formatCode>0.0%</c:formatCode>
                <c:ptCount val="5"/>
                <c:pt idx="0">
                  <c:v>0</c:v>
                </c:pt>
                <c:pt idx="1">
                  <c:v>4.9000000000000004</c:v>
                </c:pt>
                <c:pt idx="2">
                  <c:v>10.5</c:v>
                </c:pt>
                <c:pt idx="3">
                  <c:v>18.5</c:v>
                </c:pt>
                <c:pt idx="4">
                  <c:v>29.166666666666668</c:v>
                </c:pt>
              </c:numCache>
            </c:numRef>
          </c:val>
          <c:smooth val="0"/>
          <c:extLst>
            <c:ext xmlns:c16="http://schemas.microsoft.com/office/drawing/2014/chart" uri="{C3380CC4-5D6E-409C-BE32-E72D297353CC}">
              <c16:uniqueId val="{00000002-1E0A-42CF-BF47-DC763392D68F}"/>
            </c:ext>
          </c:extLst>
        </c:ser>
        <c:ser>
          <c:idx val="3"/>
          <c:order val="3"/>
          <c:tx>
            <c:strRef>
              <c:f>Summarize!$P$2</c:f>
              <c:strCache>
                <c:ptCount val="1"/>
                <c:pt idx="0">
                  <c:v>Series-A (Opt)</c:v>
                </c:pt>
              </c:strCache>
            </c:strRef>
          </c:tx>
          <c:spPr>
            <a:ln w="38100" cap="rnd">
              <a:solidFill>
                <a:schemeClr val="accent4">
                  <a:tint val="90000"/>
                </a:schemeClr>
              </a:solidFill>
              <a:round/>
            </a:ln>
            <a:effectLst/>
          </c:spPr>
          <c:marker>
            <c:symbol val="circle"/>
            <c:size val="5"/>
            <c:spPr>
              <a:solidFill>
                <a:schemeClr val="accent4">
                  <a:tint val="90000"/>
                </a:schemeClr>
              </a:solidFill>
              <a:ln w="9525">
                <a:solidFill>
                  <a:schemeClr val="accent4">
                    <a:tint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Summarize!$P$3:$P$7</c:f>
              <c:numCache>
                <c:formatCode>0.0%</c:formatCode>
                <c:ptCount val="5"/>
                <c:pt idx="0">
                  <c:v>0</c:v>
                </c:pt>
                <c:pt idx="1">
                  <c:v>0</c:v>
                </c:pt>
                <c:pt idx="2">
                  <c:v>4.3076923076923075</c:v>
                </c:pt>
                <c:pt idx="3">
                  <c:v>6.615384615384615</c:v>
                </c:pt>
                <c:pt idx="4">
                  <c:v>9.6923076923076916</c:v>
                </c:pt>
              </c:numCache>
            </c:numRef>
          </c:val>
          <c:smooth val="0"/>
          <c:extLst>
            <c:ext xmlns:c16="http://schemas.microsoft.com/office/drawing/2014/chart" uri="{C3380CC4-5D6E-409C-BE32-E72D297353CC}">
              <c16:uniqueId val="{00000003-1E0A-42CF-BF47-DC763392D68F}"/>
            </c:ext>
          </c:extLst>
        </c:ser>
        <c:ser>
          <c:idx val="4"/>
          <c:order val="4"/>
          <c:tx>
            <c:strRef>
              <c:f>Summarize!$T$2</c:f>
              <c:strCache>
                <c:ptCount val="1"/>
                <c:pt idx="0">
                  <c:v>Series-B (Opt)</c:v>
                </c:pt>
              </c:strCache>
            </c:strRef>
          </c:tx>
          <c:spPr>
            <a:ln w="38100" cap="rnd">
              <a:solidFill>
                <a:schemeClr val="accent4">
                  <a:tint val="70000"/>
                </a:schemeClr>
              </a:solidFill>
              <a:round/>
            </a:ln>
            <a:effectLst/>
          </c:spPr>
          <c:marker>
            <c:symbol val="circle"/>
            <c:size val="5"/>
            <c:spPr>
              <a:solidFill>
                <a:schemeClr val="accent4">
                  <a:tint val="70000"/>
                </a:schemeClr>
              </a:solidFill>
              <a:ln w="9525">
                <a:solidFill>
                  <a:schemeClr val="accent4">
                    <a:tint val="7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Summarize!$T$3:$T$7</c:f>
              <c:numCache>
                <c:formatCode>0.0%</c:formatCode>
                <c:ptCount val="5"/>
                <c:pt idx="0">
                  <c:v>0</c:v>
                </c:pt>
                <c:pt idx="1">
                  <c:v>0</c:v>
                </c:pt>
                <c:pt idx="2">
                  <c:v>0</c:v>
                </c:pt>
                <c:pt idx="3">
                  <c:v>3.8928571428571428</c:v>
                </c:pt>
                <c:pt idx="4">
                  <c:v>5.3214285714285703</c:v>
                </c:pt>
              </c:numCache>
            </c:numRef>
          </c:val>
          <c:smooth val="0"/>
          <c:extLst>
            <c:ext xmlns:c16="http://schemas.microsoft.com/office/drawing/2014/chart" uri="{C3380CC4-5D6E-409C-BE32-E72D297353CC}">
              <c16:uniqueId val="{00000004-1E0A-42CF-BF47-DC763392D68F}"/>
            </c:ext>
          </c:extLst>
        </c:ser>
        <c:ser>
          <c:idx val="5"/>
          <c:order val="5"/>
          <c:tx>
            <c:strRef>
              <c:f>Summarize!$X$2</c:f>
              <c:strCache>
                <c:ptCount val="1"/>
                <c:pt idx="0">
                  <c:v>Series-C (Opt)</c:v>
                </c:pt>
              </c:strCache>
            </c:strRef>
          </c:tx>
          <c:spPr>
            <a:ln w="38100" cap="rnd">
              <a:solidFill>
                <a:schemeClr val="accent4">
                  <a:tint val="50000"/>
                </a:schemeClr>
              </a:solidFill>
              <a:round/>
            </a:ln>
            <a:effectLst/>
          </c:spPr>
          <c:marker>
            <c:symbol val="circle"/>
            <c:size val="5"/>
            <c:spPr>
              <a:solidFill>
                <a:schemeClr val="accent4">
                  <a:tint val="50000"/>
                </a:schemeClr>
              </a:solidFill>
              <a:ln w="9525">
                <a:solidFill>
                  <a:schemeClr val="accent4">
                    <a:tint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Summarize!$X$3:$X$7</c:f>
              <c:numCache>
                <c:formatCode>0.0%</c:formatCode>
                <c:ptCount val="5"/>
                <c:pt idx="0">
                  <c:v>0</c:v>
                </c:pt>
                <c:pt idx="1">
                  <c:v>0</c:v>
                </c:pt>
                <c:pt idx="2">
                  <c:v>0</c:v>
                </c:pt>
                <c:pt idx="3">
                  <c:v>0</c:v>
                </c:pt>
                <c:pt idx="4">
                  <c:v>2.4615384615384617</c:v>
                </c:pt>
              </c:numCache>
            </c:numRef>
          </c:val>
          <c:smooth val="0"/>
          <c:extLst>
            <c:ext xmlns:c16="http://schemas.microsoft.com/office/drawing/2014/chart" uri="{C3380CC4-5D6E-409C-BE32-E72D297353CC}">
              <c16:uniqueId val="{00000005-1E0A-42CF-BF47-DC763392D68F}"/>
            </c:ext>
          </c:extLst>
        </c:ser>
        <c:dLbls>
          <c:showLegendKey val="0"/>
          <c:showVal val="0"/>
          <c:showCatName val="0"/>
          <c:showSerName val="0"/>
          <c:showPercent val="0"/>
          <c:showBubbleSize val="0"/>
        </c:dLbls>
        <c:marker val="1"/>
        <c:smooth val="0"/>
        <c:axId val="768322399"/>
        <c:axId val="955277087"/>
      </c:lineChart>
      <c:catAx>
        <c:axId val="76832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55277087"/>
        <c:crosses val="autoZero"/>
        <c:auto val="1"/>
        <c:lblAlgn val="ctr"/>
        <c:lblOffset val="100"/>
        <c:noMultiLvlLbl val="0"/>
      </c:catAx>
      <c:valAx>
        <c:axId val="9552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ROI %</a:t>
                </a:r>
                <a:endParaRPr lang="ko-KR"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lt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832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altLang="ko-KR" i="1"/>
              <a:t>Investor</a:t>
            </a:r>
            <a:r>
              <a:rPr lang="en-US" altLang="ko-KR" i="1" baseline="0"/>
              <a:t> ROI %</a:t>
            </a:r>
          </a:p>
          <a:p>
            <a:pPr>
              <a:defRPr i="1"/>
            </a:pPr>
            <a:r>
              <a:rPr lang="en-US" altLang="ko-KR" i="1" baseline="0"/>
              <a:t>(Without Option Usage)</a:t>
            </a:r>
            <a:endParaRPr lang="ko-KR" altLang="en-US" i="1"/>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lineChart>
        <c:grouping val="standard"/>
        <c:varyColors val="0"/>
        <c:ser>
          <c:idx val="0"/>
          <c:order val="0"/>
          <c:tx>
            <c:v>Founders (NoOpt)</c:v>
          </c:tx>
          <c:spPr>
            <a:ln w="38100" cap="rnd">
              <a:solidFill>
                <a:schemeClr val="accent5">
                  <a:tint val="50000"/>
                </a:schemeClr>
              </a:solidFill>
              <a:round/>
            </a:ln>
            <a:effectLst/>
          </c:spPr>
          <c:marker>
            <c:symbol val="circle"/>
            <c:size val="5"/>
            <c:spPr>
              <a:solidFill>
                <a:schemeClr val="accent5">
                  <a:tint val="50000"/>
                </a:schemeClr>
              </a:solidFill>
              <a:ln w="9525">
                <a:solidFill>
                  <a:schemeClr val="accent5">
                    <a:tint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Summarize!$E$3:$E$7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496-4183-A552-F64FD11CB388}"/>
            </c:ext>
          </c:extLst>
        </c:ser>
        <c:ser>
          <c:idx val="1"/>
          <c:order val="1"/>
          <c:tx>
            <c:strRef>
              <c:f>Summarize!$I$2</c:f>
              <c:strCache>
                <c:ptCount val="1"/>
                <c:pt idx="0">
                  <c:v>Pre-seed (NoOpt)</c:v>
                </c:pt>
              </c:strCache>
            </c:strRef>
          </c:tx>
          <c:spPr>
            <a:ln w="38100" cap="rnd">
              <a:solidFill>
                <a:schemeClr val="accent5">
                  <a:tint val="70000"/>
                </a:schemeClr>
              </a:solidFill>
              <a:round/>
            </a:ln>
            <a:effectLst/>
          </c:spPr>
          <c:marker>
            <c:symbol val="circle"/>
            <c:size val="5"/>
            <c:spPr>
              <a:solidFill>
                <a:schemeClr val="accent5">
                  <a:tint val="70000"/>
                </a:schemeClr>
              </a:solidFill>
              <a:ln w="9525">
                <a:solidFill>
                  <a:schemeClr val="accent5">
                    <a:tint val="7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Summarize!$I$3:$I$7</c:f>
              <c:numCache>
                <c:formatCode>0.0%</c:formatCode>
                <c:ptCount val="5"/>
                <c:pt idx="0">
                  <c:v>4.5999999999999996</c:v>
                </c:pt>
                <c:pt idx="1">
                  <c:v>13.05</c:v>
                </c:pt>
                <c:pt idx="2">
                  <c:v>40.619999999999997</c:v>
                </c:pt>
                <c:pt idx="3">
                  <c:v>78.144599999999997</c:v>
                </c:pt>
                <c:pt idx="4">
                  <c:v>136.221744</c:v>
                </c:pt>
              </c:numCache>
            </c:numRef>
          </c:val>
          <c:smooth val="0"/>
          <c:extLst>
            <c:ext xmlns:c16="http://schemas.microsoft.com/office/drawing/2014/chart" uri="{C3380CC4-5D6E-409C-BE32-E72D297353CC}">
              <c16:uniqueId val="{00000001-1496-4183-A552-F64FD11CB388}"/>
            </c:ext>
          </c:extLst>
        </c:ser>
        <c:ser>
          <c:idx val="2"/>
          <c:order val="2"/>
          <c:tx>
            <c:strRef>
              <c:f>Summarize!$M$2</c:f>
              <c:strCache>
                <c:ptCount val="1"/>
                <c:pt idx="0">
                  <c:v>Seed (NoOpt)</c:v>
                </c:pt>
              </c:strCache>
            </c:strRef>
          </c:tx>
          <c:spPr>
            <a:ln w="38100" cap="rnd">
              <a:solidFill>
                <a:schemeClr val="accent5">
                  <a:tint val="90000"/>
                </a:schemeClr>
              </a:solidFill>
              <a:round/>
            </a:ln>
            <a:effectLst/>
          </c:spPr>
          <c:marker>
            <c:symbol val="circle"/>
            <c:size val="5"/>
            <c:spPr>
              <a:solidFill>
                <a:schemeClr val="accent5">
                  <a:tint val="90000"/>
                </a:schemeClr>
              </a:solidFill>
              <a:ln w="9525">
                <a:solidFill>
                  <a:schemeClr val="accent5">
                    <a:tint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Summarize!$M$3:$M$7</c:f>
              <c:numCache>
                <c:formatCode>0.0%</c:formatCode>
                <c:ptCount val="5"/>
                <c:pt idx="0">
                  <c:v>0</c:v>
                </c:pt>
                <c:pt idx="1">
                  <c:v>3.4</c:v>
                </c:pt>
                <c:pt idx="2">
                  <c:v>10.053333333333333</c:v>
                </c:pt>
                <c:pt idx="3">
                  <c:v>18.730933333333333</c:v>
                </c:pt>
                <c:pt idx="4">
                  <c:v>33.876330666666668</c:v>
                </c:pt>
              </c:numCache>
            </c:numRef>
          </c:val>
          <c:smooth val="0"/>
          <c:extLst>
            <c:ext xmlns:c16="http://schemas.microsoft.com/office/drawing/2014/chart" uri="{C3380CC4-5D6E-409C-BE32-E72D297353CC}">
              <c16:uniqueId val="{00000002-1496-4183-A552-F64FD11CB388}"/>
            </c:ext>
          </c:extLst>
        </c:ser>
        <c:ser>
          <c:idx val="3"/>
          <c:order val="3"/>
          <c:tx>
            <c:strRef>
              <c:f>Summarize!$Q$2</c:f>
              <c:strCache>
                <c:ptCount val="1"/>
                <c:pt idx="0">
                  <c:v>Series-A (NoOpt)</c:v>
                </c:pt>
              </c:strCache>
            </c:strRef>
          </c:tx>
          <c:spPr>
            <a:ln w="38100" cap="rnd">
              <a:solidFill>
                <a:schemeClr val="accent5">
                  <a:shade val="90000"/>
                </a:schemeClr>
              </a:solidFill>
              <a:round/>
            </a:ln>
            <a:effectLst/>
          </c:spPr>
          <c:marker>
            <c:symbol val="circle"/>
            <c:size val="5"/>
            <c:spPr>
              <a:solidFill>
                <a:schemeClr val="accent5">
                  <a:shade val="90000"/>
                </a:schemeClr>
              </a:solidFill>
              <a:ln w="9525">
                <a:solidFill>
                  <a:schemeClr val="accent5">
                    <a:shade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Summarize!$Q$3:$Q$7</c:f>
              <c:numCache>
                <c:formatCode>0.0%</c:formatCode>
                <c:ptCount val="5"/>
                <c:pt idx="0">
                  <c:v>0</c:v>
                </c:pt>
                <c:pt idx="1">
                  <c:v>0</c:v>
                </c:pt>
                <c:pt idx="2">
                  <c:v>3.3076923076923075</c:v>
                </c:pt>
                <c:pt idx="3">
                  <c:v>5.945384615384615</c:v>
                </c:pt>
                <c:pt idx="4">
                  <c:v>11.203507692307692</c:v>
                </c:pt>
              </c:numCache>
            </c:numRef>
          </c:val>
          <c:smooth val="0"/>
          <c:extLst>
            <c:ext xmlns:c16="http://schemas.microsoft.com/office/drawing/2014/chart" uri="{C3380CC4-5D6E-409C-BE32-E72D297353CC}">
              <c16:uniqueId val="{00000003-1496-4183-A552-F64FD11CB388}"/>
            </c:ext>
          </c:extLst>
        </c:ser>
        <c:ser>
          <c:idx val="4"/>
          <c:order val="4"/>
          <c:tx>
            <c:strRef>
              <c:f>Summarize!$U$2</c:f>
              <c:strCache>
                <c:ptCount val="1"/>
                <c:pt idx="0">
                  <c:v>Series-B (NoOpt)</c:v>
                </c:pt>
              </c:strCache>
            </c:strRef>
          </c:tx>
          <c:spPr>
            <a:ln w="38100" cap="rnd">
              <a:solidFill>
                <a:schemeClr val="accent5">
                  <a:shade val="70000"/>
                </a:schemeClr>
              </a:solidFill>
              <a:round/>
            </a:ln>
            <a:effectLst/>
          </c:spPr>
          <c:marker>
            <c:symbol val="circle"/>
            <c:size val="5"/>
            <c:spPr>
              <a:solidFill>
                <a:schemeClr val="accent5">
                  <a:shade val="70000"/>
                </a:schemeClr>
              </a:solidFill>
              <a:ln w="9525">
                <a:solidFill>
                  <a:schemeClr val="accent5">
                    <a:shade val="7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Summarize!$U$3:$U$7</c:f>
              <c:numCache>
                <c:formatCode>0.0%</c:formatCode>
                <c:ptCount val="5"/>
                <c:pt idx="0">
                  <c:v>0</c:v>
                </c:pt>
                <c:pt idx="1">
                  <c:v>0</c:v>
                </c:pt>
                <c:pt idx="2">
                  <c:v>0</c:v>
                </c:pt>
                <c:pt idx="3">
                  <c:v>3.1428571428571432</c:v>
                </c:pt>
                <c:pt idx="4">
                  <c:v>6.21142857142857</c:v>
                </c:pt>
              </c:numCache>
            </c:numRef>
          </c:val>
          <c:smooth val="0"/>
          <c:extLst>
            <c:ext xmlns:c16="http://schemas.microsoft.com/office/drawing/2014/chart" uri="{C3380CC4-5D6E-409C-BE32-E72D297353CC}">
              <c16:uniqueId val="{00000004-1496-4183-A552-F64FD11CB388}"/>
            </c:ext>
          </c:extLst>
        </c:ser>
        <c:ser>
          <c:idx val="5"/>
          <c:order val="5"/>
          <c:tx>
            <c:strRef>
              <c:f>Summarize!$Y$2</c:f>
              <c:strCache>
                <c:ptCount val="1"/>
                <c:pt idx="0">
                  <c:v>Series-C (NoOpt)</c:v>
                </c:pt>
              </c:strCache>
            </c:strRef>
          </c:tx>
          <c:spPr>
            <a:ln w="38100" cap="rnd">
              <a:solidFill>
                <a:schemeClr val="accent5">
                  <a:shade val="50000"/>
                </a:schemeClr>
              </a:solidFill>
              <a:round/>
            </a:ln>
            <a:effectLst/>
          </c:spPr>
          <c:marker>
            <c:symbol val="circle"/>
            <c:size val="5"/>
            <c:spPr>
              <a:solidFill>
                <a:schemeClr val="accent5">
                  <a:shade val="50000"/>
                </a:schemeClr>
              </a:solidFill>
              <a:ln w="9525">
                <a:solidFill>
                  <a:schemeClr val="accent5">
                    <a:shade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Summarize!$Y$3:$Y$7</c:f>
              <c:numCache>
                <c:formatCode>0.0%</c:formatCode>
                <c:ptCount val="5"/>
                <c:pt idx="0">
                  <c:v>0</c:v>
                </c:pt>
                <c:pt idx="1">
                  <c:v>0</c:v>
                </c:pt>
                <c:pt idx="2">
                  <c:v>0</c:v>
                </c:pt>
                <c:pt idx="3">
                  <c:v>0</c:v>
                </c:pt>
                <c:pt idx="4">
                  <c:v>1.9615384615384615</c:v>
                </c:pt>
              </c:numCache>
            </c:numRef>
          </c:val>
          <c:smooth val="0"/>
          <c:extLst>
            <c:ext xmlns:c16="http://schemas.microsoft.com/office/drawing/2014/chart" uri="{C3380CC4-5D6E-409C-BE32-E72D297353CC}">
              <c16:uniqueId val="{00000005-1496-4183-A552-F64FD11CB388}"/>
            </c:ext>
          </c:extLst>
        </c:ser>
        <c:dLbls>
          <c:showLegendKey val="0"/>
          <c:showVal val="0"/>
          <c:showCatName val="0"/>
          <c:showSerName val="0"/>
          <c:showPercent val="0"/>
          <c:showBubbleSize val="0"/>
        </c:dLbls>
        <c:marker val="1"/>
        <c:smooth val="0"/>
        <c:axId val="768322399"/>
        <c:axId val="955277087"/>
      </c:lineChart>
      <c:catAx>
        <c:axId val="76832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55277087"/>
        <c:crosses val="autoZero"/>
        <c:auto val="1"/>
        <c:lblAlgn val="ctr"/>
        <c:lblOffset val="100"/>
        <c:noMultiLvlLbl val="0"/>
      </c:catAx>
      <c:valAx>
        <c:axId val="9552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ROI %</a:t>
                </a:r>
                <a:endParaRPr lang="ko-KR"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lt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832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altLang="ko-KR" i="1"/>
              <a:t>Investor</a:t>
            </a:r>
            <a:r>
              <a:rPr lang="en-US" altLang="ko-KR" i="1" baseline="0"/>
              <a:t> ROI %</a:t>
            </a:r>
          </a:p>
          <a:p>
            <a:pPr>
              <a:defRPr i="1"/>
            </a:pPr>
            <a:r>
              <a:rPr lang="en-US" altLang="ko-KR" i="1" baseline="0"/>
              <a:t>(Option Used), Pre-Seed Excl</a:t>
            </a:r>
            <a:endParaRPr lang="ko-KR" altLang="en-US" i="1"/>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lineChart>
        <c:grouping val="standard"/>
        <c:varyColors val="0"/>
        <c:ser>
          <c:idx val="0"/>
          <c:order val="0"/>
          <c:tx>
            <c:strRef>
              <c:f>Summarize!$D$2</c:f>
              <c:strCache>
                <c:ptCount val="1"/>
                <c:pt idx="0">
                  <c:v>Founders (Opt)</c:v>
                </c:pt>
              </c:strCache>
            </c:strRef>
          </c:tx>
          <c:spPr>
            <a:ln w="38100" cap="rnd">
              <a:solidFill>
                <a:schemeClr val="accent4">
                  <a:shade val="50000"/>
                </a:schemeClr>
              </a:solidFill>
              <a:round/>
            </a:ln>
            <a:effectLst/>
          </c:spPr>
          <c:marker>
            <c:symbol val="circle"/>
            <c:size val="5"/>
            <c:spPr>
              <a:solidFill>
                <a:schemeClr val="accent4">
                  <a:shade val="50000"/>
                </a:schemeClr>
              </a:solidFill>
              <a:ln w="9525">
                <a:solidFill>
                  <a:schemeClr val="accent4">
                    <a:shade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Summarize!$D$3:$D$7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8B-4101-9275-FC18C49FF494}"/>
            </c:ext>
          </c:extLst>
        </c:ser>
        <c:ser>
          <c:idx val="2"/>
          <c:order val="2"/>
          <c:tx>
            <c:strRef>
              <c:f>Summarize!$L$2</c:f>
              <c:strCache>
                <c:ptCount val="1"/>
                <c:pt idx="0">
                  <c:v>Seed (Opt)</c:v>
                </c:pt>
              </c:strCache>
            </c:strRef>
          </c:tx>
          <c:spPr>
            <a:ln w="38100" cap="rnd">
              <a:solidFill>
                <a:schemeClr val="accent4">
                  <a:shade val="90000"/>
                </a:schemeClr>
              </a:solidFill>
              <a:round/>
            </a:ln>
            <a:effectLst/>
          </c:spPr>
          <c:marker>
            <c:symbol val="circle"/>
            <c:size val="5"/>
            <c:spPr>
              <a:solidFill>
                <a:schemeClr val="accent4">
                  <a:shade val="90000"/>
                </a:schemeClr>
              </a:solidFill>
              <a:ln w="9525">
                <a:solidFill>
                  <a:schemeClr val="accent4">
                    <a:shade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Summarize!$L$3:$L$7</c:f>
              <c:numCache>
                <c:formatCode>0.0%</c:formatCode>
                <c:ptCount val="5"/>
                <c:pt idx="0">
                  <c:v>0</c:v>
                </c:pt>
                <c:pt idx="1">
                  <c:v>4.9000000000000004</c:v>
                </c:pt>
                <c:pt idx="2">
                  <c:v>10.5</c:v>
                </c:pt>
                <c:pt idx="3">
                  <c:v>18.5</c:v>
                </c:pt>
                <c:pt idx="4">
                  <c:v>29.166666666666668</c:v>
                </c:pt>
              </c:numCache>
            </c:numRef>
          </c:val>
          <c:smooth val="0"/>
          <c:extLst>
            <c:ext xmlns:c16="http://schemas.microsoft.com/office/drawing/2014/chart" uri="{C3380CC4-5D6E-409C-BE32-E72D297353CC}">
              <c16:uniqueId val="{00000002-BB8B-4101-9275-FC18C49FF494}"/>
            </c:ext>
          </c:extLst>
        </c:ser>
        <c:ser>
          <c:idx val="3"/>
          <c:order val="3"/>
          <c:tx>
            <c:strRef>
              <c:f>Summarize!$P$2</c:f>
              <c:strCache>
                <c:ptCount val="1"/>
                <c:pt idx="0">
                  <c:v>Series-A (Opt)</c:v>
                </c:pt>
              </c:strCache>
            </c:strRef>
          </c:tx>
          <c:spPr>
            <a:ln w="38100" cap="rnd">
              <a:solidFill>
                <a:schemeClr val="accent4">
                  <a:tint val="90000"/>
                </a:schemeClr>
              </a:solidFill>
              <a:round/>
            </a:ln>
            <a:effectLst/>
          </c:spPr>
          <c:marker>
            <c:symbol val="circle"/>
            <c:size val="5"/>
            <c:spPr>
              <a:solidFill>
                <a:schemeClr val="accent4">
                  <a:tint val="90000"/>
                </a:schemeClr>
              </a:solidFill>
              <a:ln w="9525">
                <a:solidFill>
                  <a:schemeClr val="accent4">
                    <a:tint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Summarize!$P$3:$P$7</c:f>
              <c:numCache>
                <c:formatCode>0.0%</c:formatCode>
                <c:ptCount val="5"/>
                <c:pt idx="0">
                  <c:v>0</c:v>
                </c:pt>
                <c:pt idx="1">
                  <c:v>0</c:v>
                </c:pt>
                <c:pt idx="2">
                  <c:v>4.3076923076923075</c:v>
                </c:pt>
                <c:pt idx="3">
                  <c:v>6.615384615384615</c:v>
                </c:pt>
                <c:pt idx="4">
                  <c:v>9.6923076923076916</c:v>
                </c:pt>
              </c:numCache>
            </c:numRef>
          </c:val>
          <c:smooth val="0"/>
          <c:extLst>
            <c:ext xmlns:c16="http://schemas.microsoft.com/office/drawing/2014/chart" uri="{C3380CC4-5D6E-409C-BE32-E72D297353CC}">
              <c16:uniqueId val="{00000003-BB8B-4101-9275-FC18C49FF494}"/>
            </c:ext>
          </c:extLst>
        </c:ser>
        <c:ser>
          <c:idx val="4"/>
          <c:order val="4"/>
          <c:tx>
            <c:strRef>
              <c:f>Summarize!$T$2</c:f>
              <c:strCache>
                <c:ptCount val="1"/>
                <c:pt idx="0">
                  <c:v>Series-B (Opt)</c:v>
                </c:pt>
              </c:strCache>
            </c:strRef>
          </c:tx>
          <c:spPr>
            <a:ln w="38100" cap="rnd">
              <a:solidFill>
                <a:schemeClr val="accent4">
                  <a:tint val="70000"/>
                </a:schemeClr>
              </a:solidFill>
              <a:round/>
            </a:ln>
            <a:effectLst/>
          </c:spPr>
          <c:marker>
            <c:symbol val="circle"/>
            <c:size val="5"/>
            <c:spPr>
              <a:solidFill>
                <a:schemeClr val="accent4">
                  <a:tint val="70000"/>
                </a:schemeClr>
              </a:solidFill>
              <a:ln w="9525">
                <a:solidFill>
                  <a:schemeClr val="accent4">
                    <a:tint val="7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Summarize!$T$3:$T$7</c:f>
              <c:numCache>
                <c:formatCode>0.0%</c:formatCode>
                <c:ptCount val="5"/>
                <c:pt idx="0">
                  <c:v>0</c:v>
                </c:pt>
                <c:pt idx="1">
                  <c:v>0</c:v>
                </c:pt>
                <c:pt idx="2">
                  <c:v>0</c:v>
                </c:pt>
                <c:pt idx="3">
                  <c:v>3.8928571428571428</c:v>
                </c:pt>
                <c:pt idx="4">
                  <c:v>5.3214285714285703</c:v>
                </c:pt>
              </c:numCache>
            </c:numRef>
          </c:val>
          <c:smooth val="0"/>
          <c:extLst>
            <c:ext xmlns:c16="http://schemas.microsoft.com/office/drawing/2014/chart" uri="{C3380CC4-5D6E-409C-BE32-E72D297353CC}">
              <c16:uniqueId val="{00000004-BB8B-4101-9275-FC18C49FF494}"/>
            </c:ext>
          </c:extLst>
        </c:ser>
        <c:ser>
          <c:idx val="5"/>
          <c:order val="5"/>
          <c:tx>
            <c:strRef>
              <c:f>Summarize!$X$2</c:f>
              <c:strCache>
                <c:ptCount val="1"/>
                <c:pt idx="0">
                  <c:v>Series-C (Opt)</c:v>
                </c:pt>
              </c:strCache>
            </c:strRef>
          </c:tx>
          <c:spPr>
            <a:ln w="38100" cap="rnd">
              <a:solidFill>
                <a:schemeClr val="accent4">
                  <a:tint val="50000"/>
                </a:schemeClr>
              </a:solidFill>
              <a:round/>
            </a:ln>
            <a:effectLst/>
          </c:spPr>
          <c:marker>
            <c:symbol val="circle"/>
            <c:size val="5"/>
            <c:spPr>
              <a:solidFill>
                <a:schemeClr val="accent4">
                  <a:tint val="50000"/>
                </a:schemeClr>
              </a:solidFill>
              <a:ln w="9525">
                <a:solidFill>
                  <a:schemeClr val="accent4">
                    <a:tint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Summarize!$X$3:$X$7</c:f>
              <c:numCache>
                <c:formatCode>0.0%</c:formatCode>
                <c:ptCount val="5"/>
                <c:pt idx="0">
                  <c:v>0</c:v>
                </c:pt>
                <c:pt idx="1">
                  <c:v>0</c:v>
                </c:pt>
                <c:pt idx="2">
                  <c:v>0</c:v>
                </c:pt>
                <c:pt idx="3">
                  <c:v>0</c:v>
                </c:pt>
                <c:pt idx="4">
                  <c:v>2.4615384615384617</c:v>
                </c:pt>
              </c:numCache>
            </c:numRef>
          </c:val>
          <c:smooth val="0"/>
          <c:extLst>
            <c:ext xmlns:c16="http://schemas.microsoft.com/office/drawing/2014/chart" uri="{C3380CC4-5D6E-409C-BE32-E72D297353CC}">
              <c16:uniqueId val="{00000005-BB8B-4101-9275-FC18C49FF494}"/>
            </c:ext>
          </c:extLst>
        </c:ser>
        <c:dLbls>
          <c:showLegendKey val="0"/>
          <c:showVal val="0"/>
          <c:showCatName val="0"/>
          <c:showSerName val="0"/>
          <c:showPercent val="0"/>
          <c:showBubbleSize val="0"/>
        </c:dLbls>
        <c:marker val="1"/>
        <c:smooth val="0"/>
        <c:axId val="768322399"/>
        <c:axId val="955277087"/>
        <c:extLst>
          <c:ext xmlns:c15="http://schemas.microsoft.com/office/drawing/2012/chart" uri="{02D57815-91ED-43cb-92C2-25804820EDAC}">
            <c15:filteredLineSeries>
              <c15:ser>
                <c:idx val="1"/>
                <c:order val="1"/>
                <c:tx>
                  <c:strRef>
                    <c:extLst>
                      <c:ext uri="{02D57815-91ED-43cb-92C2-25804820EDAC}">
                        <c15:formulaRef>
                          <c15:sqref>Summarize!$H$2</c15:sqref>
                        </c15:formulaRef>
                      </c:ext>
                    </c:extLst>
                    <c:strCache>
                      <c:ptCount val="1"/>
                      <c:pt idx="0">
                        <c:v>Pre-seed (Opt)</c:v>
                      </c:pt>
                    </c:strCache>
                  </c:strRef>
                </c:tx>
                <c:spPr>
                  <a:ln w="12700" cap="rnd">
                    <a:solidFill>
                      <a:schemeClr val="accent4">
                        <a:shade val="70000"/>
                      </a:schemeClr>
                    </a:solidFill>
                    <a:round/>
                  </a:ln>
                  <a:effectLst/>
                </c:spPr>
                <c:marker>
                  <c:symbol val="circle"/>
                  <c:size val="5"/>
                  <c:spPr>
                    <a:solidFill>
                      <a:schemeClr val="accent4">
                        <a:shade val="70000"/>
                      </a:schemeClr>
                    </a:solidFill>
                    <a:ln w="9525">
                      <a:solidFill>
                        <a:schemeClr val="accent4">
                          <a:shade val="70000"/>
                        </a:schemeClr>
                      </a:solidFill>
                    </a:ln>
                    <a:effectLst/>
                  </c:spPr>
                </c:marker>
                <c:cat>
                  <c:strRef>
                    <c:extLst>
                      <c:ext uri="{02D57815-91ED-43cb-92C2-25804820EDAC}">
                        <c15:formulaRef>
                          <c15:sqref>Summarize!$A$3:$A$7</c15:sqref>
                        </c15:formulaRef>
                      </c:ext>
                    </c:extLst>
                    <c:strCache>
                      <c:ptCount val="5"/>
                      <c:pt idx="0">
                        <c:v>Pre-Seed</c:v>
                      </c:pt>
                      <c:pt idx="1">
                        <c:v>Seed</c:v>
                      </c:pt>
                      <c:pt idx="2">
                        <c:v>Series-A</c:v>
                      </c:pt>
                      <c:pt idx="3">
                        <c:v>Series-B</c:v>
                      </c:pt>
                      <c:pt idx="4">
                        <c:v>Series-C</c:v>
                      </c:pt>
                    </c:strCache>
                  </c:strRef>
                </c:cat>
                <c:val>
                  <c:numRef>
                    <c:extLst>
                      <c:ext uri="{02D57815-91ED-43cb-92C2-25804820EDAC}">
                        <c15:formulaRef>
                          <c15:sqref>Summarize!$H$3:$H$7</c15:sqref>
                        </c15:formulaRef>
                      </c:ext>
                    </c:extLst>
                    <c:numCache>
                      <c:formatCode>0.0%</c:formatCode>
                      <c:ptCount val="5"/>
                      <c:pt idx="0">
                        <c:v>8.1</c:v>
                      </c:pt>
                      <c:pt idx="1">
                        <c:v>15.3</c:v>
                      </c:pt>
                      <c:pt idx="2">
                        <c:v>40.5</c:v>
                      </c:pt>
                      <c:pt idx="3">
                        <c:v>76.5</c:v>
                      </c:pt>
                      <c:pt idx="4">
                        <c:v>124.5</c:v>
                      </c:pt>
                    </c:numCache>
                  </c:numRef>
                </c:val>
                <c:smooth val="0"/>
                <c:extLst>
                  <c:ext xmlns:c16="http://schemas.microsoft.com/office/drawing/2014/chart" uri="{C3380CC4-5D6E-409C-BE32-E72D297353CC}">
                    <c16:uniqueId val="{00000001-BB8B-4101-9275-FC18C49FF494}"/>
                  </c:ext>
                </c:extLst>
              </c15:ser>
            </c15:filteredLineSeries>
          </c:ext>
        </c:extLst>
      </c:lineChart>
      <c:catAx>
        <c:axId val="76832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55277087"/>
        <c:crosses val="autoZero"/>
        <c:auto val="1"/>
        <c:lblAlgn val="ctr"/>
        <c:lblOffset val="100"/>
        <c:noMultiLvlLbl val="0"/>
      </c:catAx>
      <c:valAx>
        <c:axId val="9552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ROI %</a:t>
                </a:r>
                <a:endParaRPr lang="ko-KR"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lt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832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altLang="ko-KR" i="1"/>
              <a:t>Investor</a:t>
            </a:r>
            <a:r>
              <a:rPr lang="en-US" altLang="ko-KR" i="1" baseline="0"/>
              <a:t> ROI %</a:t>
            </a:r>
          </a:p>
          <a:p>
            <a:pPr>
              <a:defRPr i="1"/>
            </a:pPr>
            <a:r>
              <a:rPr lang="en-US" altLang="ko-KR" i="1" baseline="0"/>
              <a:t>(Without Option Usage), Pre-Seed Excl</a:t>
            </a:r>
            <a:endParaRPr lang="ko-KR" altLang="en-US" i="1"/>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ko-KR" altLang="en-US"/>
        </a:p>
      </c:txPr>
    </c:title>
    <c:autoTitleDeleted val="0"/>
    <c:plotArea>
      <c:layout/>
      <c:lineChart>
        <c:grouping val="standard"/>
        <c:varyColors val="0"/>
        <c:ser>
          <c:idx val="0"/>
          <c:order val="0"/>
          <c:tx>
            <c:v>Founders (NoOpt)</c:v>
          </c:tx>
          <c:spPr>
            <a:ln w="38100" cap="rnd">
              <a:solidFill>
                <a:schemeClr val="accent5">
                  <a:tint val="50000"/>
                </a:schemeClr>
              </a:solidFill>
              <a:round/>
            </a:ln>
            <a:effectLst/>
          </c:spPr>
          <c:marker>
            <c:symbol val="circle"/>
            <c:size val="5"/>
            <c:spPr>
              <a:solidFill>
                <a:schemeClr val="accent5">
                  <a:tint val="50000"/>
                </a:schemeClr>
              </a:solidFill>
              <a:ln w="9525">
                <a:solidFill>
                  <a:schemeClr val="accent5">
                    <a:tint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Summarize!$E$3:$E$7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6C5-4DCC-B4B7-CD598566E8A9}"/>
            </c:ext>
          </c:extLst>
        </c:ser>
        <c:ser>
          <c:idx val="2"/>
          <c:order val="2"/>
          <c:tx>
            <c:strRef>
              <c:f>Summarize!$M$2</c:f>
              <c:strCache>
                <c:ptCount val="1"/>
                <c:pt idx="0">
                  <c:v>Seed (NoOpt)</c:v>
                </c:pt>
              </c:strCache>
            </c:strRef>
          </c:tx>
          <c:spPr>
            <a:ln w="38100" cap="rnd">
              <a:solidFill>
                <a:schemeClr val="accent5">
                  <a:tint val="90000"/>
                </a:schemeClr>
              </a:solidFill>
              <a:round/>
            </a:ln>
            <a:effectLst/>
          </c:spPr>
          <c:marker>
            <c:symbol val="circle"/>
            <c:size val="5"/>
            <c:spPr>
              <a:solidFill>
                <a:schemeClr val="accent5">
                  <a:tint val="90000"/>
                </a:schemeClr>
              </a:solidFill>
              <a:ln w="9525">
                <a:solidFill>
                  <a:schemeClr val="accent5">
                    <a:tint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Summarize!$M$3:$M$7</c:f>
              <c:numCache>
                <c:formatCode>0.0%</c:formatCode>
                <c:ptCount val="5"/>
                <c:pt idx="0">
                  <c:v>0</c:v>
                </c:pt>
                <c:pt idx="1">
                  <c:v>3.4</c:v>
                </c:pt>
                <c:pt idx="2">
                  <c:v>10.053333333333333</c:v>
                </c:pt>
                <c:pt idx="3">
                  <c:v>18.730933333333333</c:v>
                </c:pt>
                <c:pt idx="4">
                  <c:v>33.876330666666668</c:v>
                </c:pt>
              </c:numCache>
            </c:numRef>
          </c:val>
          <c:smooth val="0"/>
          <c:extLst>
            <c:ext xmlns:c16="http://schemas.microsoft.com/office/drawing/2014/chart" uri="{C3380CC4-5D6E-409C-BE32-E72D297353CC}">
              <c16:uniqueId val="{00000002-46C5-4DCC-B4B7-CD598566E8A9}"/>
            </c:ext>
          </c:extLst>
        </c:ser>
        <c:ser>
          <c:idx val="3"/>
          <c:order val="3"/>
          <c:tx>
            <c:strRef>
              <c:f>Summarize!$Q$2</c:f>
              <c:strCache>
                <c:ptCount val="1"/>
                <c:pt idx="0">
                  <c:v>Series-A (NoOpt)</c:v>
                </c:pt>
              </c:strCache>
            </c:strRef>
          </c:tx>
          <c:spPr>
            <a:ln w="38100" cap="rnd">
              <a:solidFill>
                <a:schemeClr val="accent5">
                  <a:shade val="90000"/>
                </a:schemeClr>
              </a:solidFill>
              <a:round/>
            </a:ln>
            <a:effectLst/>
          </c:spPr>
          <c:marker>
            <c:symbol val="circle"/>
            <c:size val="5"/>
            <c:spPr>
              <a:solidFill>
                <a:schemeClr val="accent5">
                  <a:shade val="90000"/>
                </a:schemeClr>
              </a:solidFill>
              <a:ln w="9525">
                <a:solidFill>
                  <a:schemeClr val="accent5">
                    <a:shade val="9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Summarize!$Q$3:$Q$7</c:f>
              <c:numCache>
                <c:formatCode>0.0%</c:formatCode>
                <c:ptCount val="5"/>
                <c:pt idx="0">
                  <c:v>0</c:v>
                </c:pt>
                <c:pt idx="1">
                  <c:v>0</c:v>
                </c:pt>
                <c:pt idx="2">
                  <c:v>3.3076923076923075</c:v>
                </c:pt>
                <c:pt idx="3">
                  <c:v>5.945384615384615</c:v>
                </c:pt>
                <c:pt idx="4">
                  <c:v>11.203507692307692</c:v>
                </c:pt>
              </c:numCache>
            </c:numRef>
          </c:val>
          <c:smooth val="0"/>
          <c:extLst>
            <c:ext xmlns:c16="http://schemas.microsoft.com/office/drawing/2014/chart" uri="{C3380CC4-5D6E-409C-BE32-E72D297353CC}">
              <c16:uniqueId val="{00000003-46C5-4DCC-B4B7-CD598566E8A9}"/>
            </c:ext>
          </c:extLst>
        </c:ser>
        <c:ser>
          <c:idx val="4"/>
          <c:order val="4"/>
          <c:tx>
            <c:strRef>
              <c:f>Summarize!$U$2</c:f>
              <c:strCache>
                <c:ptCount val="1"/>
                <c:pt idx="0">
                  <c:v>Series-B (NoOpt)</c:v>
                </c:pt>
              </c:strCache>
            </c:strRef>
          </c:tx>
          <c:spPr>
            <a:ln w="38100" cap="rnd">
              <a:solidFill>
                <a:schemeClr val="accent5">
                  <a:shade val="70000"/>
                </a:schemeClr>
              </a:solidFill>
              <a:round/>
            </a:ln>
            <a:effectLst/>
          </c:spPr>
          <c:marker>
            <c:symbol val="circle"/>
            <c:size val="5"/>
            <c:spPr>
              <a:solidFill>
                <a:schemeClr val="accent5">
                  <a:shade val="70000"/>
                </a:schemeClr>
              </a:solidFill>
              <a:ln w="9525">
                <a:solidFill>
                  <a:schemeClr val="accent5">
                    <a:shade val="7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Summarize!$U$3:$U$7</c:f>
              <c:numCache>
                <c:formatCode>0.0%</c:formatCode>
                <c:ptCount val="5"/>
                <c:pt idx="0">
                  <c:v>0</c:v>
                </c:pt>
                <c:pt idx="1">
                  <c:v>0</c:v>
                </c:pt>
                <c:pt idx="2">
                  <c:v>0</c:v>
                </c:pt>
                <c:pt idx="3">
                  <c:v>3.1428571428571432</c:v>
                </c:pt>
                <c:pt idx="4">
                  <c:v>6.21142857142857</c:v>
                </c:pt>
              </c:numCache>
            </c:numRef>
          </c:val>
          <c:smooth val="0"/>
          <c:extLst>
            <c:ext xmlns:c16="http://schemas.microsoft.com/office/drawing/2014/chart" uri="{C3380CC4-5D6E-409C-BE32-E72D297353CC}">
              <c16:uniqueId val="{00000004-46C5-4DCC-B4B7-CD598566E8A9}"/>
            </c:ext>
          </c:extLst>
        </c:ser>
        <c:ser>
          <c:idx val="5"/>
          <c:order val="5"/>
          <c:tx>
            <c:strRef>
              <c:f>Summarize!$Y$2</c:f>
              <c:strCache>
                <c:ptCount val="1"/>
                <c:pt idx="0">
                  <c:v>Series-C (NoOpt)</c:v>
                </c:pt>
              </c:strCache>
            </c:strRef>
          </c:tx>
          <c:spPr>
            <a:ln w="38100" cap="rnd">
              <a:solidFill>
                <a:schemeClr val="accent5">
                  <a:shade val="50000"/>
                </a:schemeClr>
              </a:solidFill>
              <a:round/>
            </a:ln>
            <a:effectLst/>
          </c:spPr>
          <c:marker>
            <c:symbol val="circle"/>
            <c:size val="5"/>
            <c:spPr>
              <a:solidFill>
                <a:schemeClr val="accent5">
                  <a:shade val="50000"/>
                </a:schemeClr>
              </a:solidFill>
              <a:ln w="9525">
                <a:solidFill>
                  <a:schemeClr val="accent5">
                    <a:shade val="50000"/>
                  </a:schemeClr>
                </a:solidFill>
              </a:ln>
              <a:effectLst/>
            </c:spPr>
          </c:marker>
          <c:cat>
            <c:strRef>
              <c:f>Summarize!$A$3:$A$7</c:f>
              <c:strCache>
                <c:ptCount val="5"/>
                <c:pt idx="0">
                  <c:v>Pre-Seed</c:v>
                </c:pt>
                <c:pt idx="1">
                  <c:v>Seed</c:v>
                </c:pt>
                <c:pt idx="2">
                  <c:v>Series-A</c:v>
                </c:pt>
                <c:pt idx="3">
                  <c:v>Series-B</c:v>
                </c:pt>
                <c:pt idx="4">
                  <c:v>Series-C</c:v>
                </c:pt>
              </c:strCache>
            </c:strRef>
          </c:cat>
          <c:val>
            <c:numRef>
              <c:f>Summarize!$Y$3:$Y$7</c:f>
              <c:numCache>
                <c:formatCode>0.0%</c:formatCode>
                <c:ptCount val="5"/>
                <c:pt idx="0">
                  <c:v>0</c:v>
                </c:pt>
                <c:pt idx="1">
                  <c:v>0</c:v>
                </c:pt>
                <c:pt idx="2">
                  <c:v>0</c:v>
                </c:pt>
                <c:pt idx="3">
                  <c:v>0</c:v>
                </c:pt>
                <c:pt idx="4">
                  <c:v>1.9615384615384615</c:v>
                </c:pt>
              </c:numCache>
            </c:numRef>
          </c:val>
          <c:smooth val="0"/>
          <c:extLst>
            <c:ext xmlns:c16="http://schemas.microsoft.com/office/drawing/2014/chart" uri="{C3380CC4-5D6E-409C-BE32-E72D297353CC}">
              <c16:uniqueId val="{00000005-46C5-4DCC-B4B7-CD598566E8A9}"/>
            </c:ext>
          </c:extLst>
        </c:ser>
        <c:dLbls>
          <c:showLegendKey val="0"/>
          <c:showVal val="0"/>
          <c:showCatName val="0"/>
          <c:showSerName val="0"/>
          <c:showPercent val="0"/>
          <c:showBubbleSize val="0"/>
        </c:dLbls>
        <c:marker val="1"/>
        <c:smooth val="0"/>
        <c:axId val="768322399"/>
        <c:axId val="955277087"/>
        <c:extLst>
          <c:ext xmlns:c15="http://schemas.microsoft.com/office/drawing/2012/chart" uri="{02D57815-91ED-43cb-92C2-25804820EDAC}">
            <c15:filteredLineSeries>
              <c15:ser>
                <c:idx val="1"/>
                <c:order val="1"/>
                <c:tx>
                  <c:strRef>
                    <c:extLst>
                      <c:ext uri="{02D57815-91ED-43cb-92C2-25804820EDAC}">
                        <c15:formulaRef>
                          <c15:sqref>Summarize!$I$2</c15:sqref>
                        </c15:formulaRef>
                      </c:ext>
                    </c:extLst>
                    <c:strCache>
                      <c:ptCount val="1"/>
                      <c:pt idx="0">
                        <c:v>Pre-seed (NoOpt)</c:v>
                      </c:pt>
                    </c:strCache>
                  </c:strRef>
                </c:tx>
                <c:spPr>
                  <a:ln w="28575" cap="rnd">
                    <a:solidFill>
                      <a:schemeClr val="accent5">
                        <a:tint val="70000"/>
                      </a:schemeClr>
                    </a:solidFill>
                    <a:round/>
                  </a:ln>
                  <a:effectLst/>
                </c:spPr>
                <c:marker>
                  <c:symbol val="circle"/>
                  <c:size val="5"/>
                  <c:spPr>
                    <a:solidFill>
                      <a:schemeClr val="accent5">
                        <a:tint val="70000"/>
                      </a:schemeClr>
                    </a:solidFill>
                    <a:ln w="9525">
                      <a:solidFill>
                        <a:schemeClr val="accent5">
                          <a:tint val="70000"/>
                        </a:schemeClr>
                      </a:solidFill>
                    </a:ln>
                    <a:effectLst/>
                  </c:spPr>
                </c:marker>
                <c:cat>
                  <c:strRef>
                    <c:extLst>
                      <c:ext uri="{02D57815-91ED-43cb-92C2-25804820EDAC}">
                        <c15:formulaRef>
                          <c15:sqref>Summarize!$A$3:$A$7</c15:sqref>
                        </c15:formulaRef>
                      </c:ext>
                    </c:extLst>
                    <c:strCache>
                      <c:ptCount val="5"/>
                      <c:pt idx="0">
                        <c:v>Pre-Seed</c:v>
                      </c:pt>
                      <c:pt idx="1">
                        <c:v>Seed</c:v>
                      </c:pt>
                      <c:pt idx="2">
                        <c:v>Series-A</c:v>
                      </c:pt>
                      <c:pt idx="3">
                        <c:v>Series-B</c:v>
                      </c:pt>
                      <c:pt idx="4">
                        <c:v>Series-C</c:v>
                      </c:pt>
                    </c:strCache>
                  </c:strRef>
                </c:cat>
                <c:val>
                  <c:numRef>
                    <c:extLst>
                      <c:ext uri="{02D57815-91ED-43cb-92C2-25804820EDAC}">
                        <c15:formulaRef>
                          <c15:sqref>Summarize!$I$3:$I$7</c15:sqref>
                        </c15:formulaRef>
                      </c:ext>
                    </c:extLst>
                    <c:numCache>
                      <c:formatCode>0.0%</c:formatCode>
                      <c:ptCount val="5"/>
                      <c:pt idx="0">
                        <c:v>4.5999999999999996</c:v>
                      </c:pt>
                      <c:pt idx="1">
                        <c:v>13.05</c:v>
                      </c:pt>
                      <c:pt idx="2">
                        <c:v>40.619999999999997</c:v>
                      </c:pt>
                      <c:pt idx="3">
                        <c:v>78.144599999999997</c:v>
                      </c:pt>
                      <c:pt idx="4">
                        <c:v>136.221744</c:v>
                      </c:pt>
                    </c:numCache>
                  </c:numRef>
                </c:val>
                <c:smooth val="0"/>
                <c:extLst>
                  <c:ext xmlns:c16="http://schemas.microsoft.com/office/drawing/2014/chart" uri="{C3380CC4-5D6E-409C-BE32-E72D297353CC}">
                    <c16:uniqueId val="{00000001-46C5-4DCC-B4B7-CD598566E8A9}"/>
                  </c:ext>
                </c:extLst>
              </c15:ser>
            </c15:filteredLineSeries>
          </c:ext>
        </c:extLst>
      </c:lineChart>
      <c:catAx>
        <c:axId val="76832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55277087"/>
        <c:crosses val="autoZero"/>
        <c:auto val="1"/>
        <c:lblAlgn val="ctr"/>
        <c:lblOffset val="100"/>
        <c:noMultiLvlLbl val="0"/>
      </c:catAx>
      <c:valAx>
        <c:axId val="9552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ko-KR"/>
                  <a:t>ROI %</a:t>
                </a:r>
                <a:endParaRPr lang="ko-KR"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ko-KR" alt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6832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altLang="ko-KR" i="1"/>
              <a:t>Fully</a:t>
            </a:r>
            <a:r>
              <a:rPr lang="en-US" altLang="ko-KR" i="1" baseline="0"/>
              <a:t> Diluted Equity &amp; ESOP Cumulatives</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ko-KR"/>
        </a:p>
      </c:txPr>
    </c:title>
    <c:autoTitleDeleted val="0"/>
    <c:plotArea>
      <c:layout/>
      <c:areaChart>
        <c:grouping val="percentStacked"/>
        <c:varyColors val="0"/>
        <c:ser>
          <c:idx val="0"/>
          <c:order val="0"/>
          <c:tx>
            <c:strRef>
              <c:f>Summarize!$B$11</c:f>
              <c:strCache>
                <c:ptCount val="1"/>
                <c:pt idx="0">
                  <c:v>Founders</c:v>
                </c:pt>
              </c:strCache>
            </c:strRef>
          </c:tx>
          <c:spPr>
            <a:solidFill>
              <a:schemeClr val="accent2">
                <a:shade val="47000"/>
              </a:schemeClr>
            </a:solidFill>
            <a:ln>
              <a:noFill/>
            </a:ln>
            <a:effectLst/>
          </c:spPr>
          <c:cat>
            <c:strRef>
              <c:f>Summarize!$A$12:$A$16</c:f>
              <c:strCache>
                <c:ptCount val="5"/>
                <c:pt idx="0">
                  <c:v>Pre-Seed</c:v>
                </c:pt>
                <c:pt idx="1">
                  <c:v>Seed</c:v>
                </c:pt>
                <c:pt idx="2">
                  <c:v>Series-A</c:v>
                </c:pt>
                <c:pt idx="3">
                  <c:v>Series-B</c:v>
                </c:pt>
                <c:pt idx="4">
                  <c:v>Series-C</c:v>
                </c:pt>
              </c:strCache>
            </c:strRef>
          </c:cat>
          <c:val>
            <c:numRef>
              <c:f>Summarize!$B$12:$B$16</c:f>
              <c:numCache>
                <c:formatCode>0.00%</c:formatCode>
                <c:ptCount val="5"/>
                <c:pt idx="0">
                  <c:v>0.8</c:v>
                </c:pt>
                <c:pt idx="1">
                  <c:v>0.60000000000000009</c:v>
                </c:pt>
                <c:pt idx="2">
                  <c:v>0.46200000000000008</c:v>
                </c:pt>
                <c:pt idx="3">
                  <c:v>0.35112000000000004</c:v>
                </c:pt>
                <c:pt idx="4">
                  <c:v>0.27036240000000006</c:v>
                </c:pt>
              </c:numCache>
            </c:numRef>
          </c:val>
          <c:extLst>
            <c:ext xmlns:c16="http://schemas.microsoft.com/office/drawing/2014/chart" uri="{C3380CC4-5D6E-409C-BE32-E72D297353CC}">
              <c16:uniqueId val="{00000000-5CEF-467D-B52C-A016A12B3961}"/>
            </c:ext>
          </c:extLst>
        </c:ser>
        <c:ser>
          <c:idx val="1"/>
          <c:order val="1"/>
          <c:tx>
            <c:strRef>
              <c:f>Summarize!$C$11</c:f>
              <c:strCache>
                <c:ptCount val="1"/>
                <c:pt idx="0">
                  <c:v>Pre-seed</c:v>
                </c:pt>
              </c:strCache>
            </c:strRef>
          </c:tx>
          <c:spPr>
            <a:solidFill>
              <a:schemeClr val="accent2">
                <a:shade val="65000"/>
              </a:schemeClr>
            </a:solidFill>
            <a:ln>
              <a:noFill/>
            </a:ln>
            <a:effectLst/>
          </c:spPr>
          <c:cat>
            <c:strRef>
              <c:f>Summarize!$A$12:$A$16</c:f>
              <c:strCache>
                <c:ptCount val="5"/>
                <c:pt idx="0">
                  <c:v>Pre-Seed</c:v>
                </c:pt>
                <c:pt idx="1">
                  <c:v>Seed</c:v>
                </c:pt>
                <c:pt idx="2">
                  <c:v>Series-A</c:v>
                </c:pt>
                <c:pt idx="3">
                  <c:v>Series-B</c:v>
                </c:pt>
                <c:pt idx="4">
                  <c:v>Series-C</c:v>
                </c:pt>
              </c:strCache>
            </c:strRef>
          </c:cat>
          <c:val>
            <c:numRef>
              <c:f>Summarize!$C$12:$C$16</c:f>
              <c:numCache>
                <c:formatCode>0.00%</c:formatCode>
                <c:ptCount val="5"/>
                <c:pt idx="0">
                  <c:v>0.1</c:v>
                </c:pt>
                <c:pt idx="1">
                  <c:v>7.5000000000000011E-2</c:v>
                </c:pt>
                <c:pt idx="2">
                  <c:v>5.775000000000001E-2</c:v>
                </c:pt>
                <c:pt idx="3">
                  <c:v>4.3890000000000005E-2</c:v>
                </c:pt>
                <c:pt idx="4">
                  <c:v>3.3795300000000007E-2</c:v>
                </c:pt>
              </c:numCache>
            </c:numRef>
          </c:val>
          <c:extLst>
            <c:ext xmlns:c16="http://schemas.microsoft.com/office/drawing/2014/chart" uri="{C3380CC4-5D6E-409C-BE32-E72D297353CC}">
              <c16:uniqueId val="{00000001-5CEF-467D-B52C-A016A12B3961}"/>
            </c:ext>
          </c:extLst>
        </c:ser>
        <c:ser>
          <c:idx val="2"/>
          <c:order val="2"/>
          <c:tx>
            <c:strRef>
              <c:f>Summarize!$D$11</c:f>
              <c:strCache>
                <c:ptCount val="1"/>
                <c:pt idx="0">
                  <c:v>Seed</c:v>
                </c:pt>
              </c:strCache>
            </c:strRef>
          </c:tx>
          <c:spPr>
            <a:solidFill>
              <a:schemeClr val="accent2">
                <a:shade val="82000"/>
              </a:schemeClr>
            </a:solidFill>
            <a:ln>
              <a:noFill/>
            </a:ln>
            <a:effectLst/>
          </c:spPr>
          <c:cat>
            <c:strRef>
              <c:f>Summarize!$A$12:$A$16</c:f>
              <c:strCache>
                <c:ptCount val="5"/>
                <c:pt idx="0">
                  <c:v>Pre-Seed</c:v>
                </c:pt>
                <c:pt idx="1">
                  <c:v>Seed</c:v>
                </c:pt>
                <c:pt idx="2">
                  <c:v>Series-A</c:v>
                </c:pt>
                <c:pt idx="3">
                  <c:v>Series-B</c:v>
                </c:pt>
                <c:pt idx="4">
                  <c:v>Series-C</c:v>
                </c:pt>
              </c:strCache>
            </c:strRef>
          </c:cat>
          <c:val>
            <c:numRef>
              <c:f>Summarize!$D$12:$D$16</c:f>
              <c:numCache>
                <c:formatCode>0.00%</c:formatCode>
                <c:ptCount val="5"/>
                <c:pt idx="0">
                  <c:v>0</c:v>
                </c:pt>
                <c:pt idx="1">
                  <c:v>0.15</c:v>
                </c:pt>
                <c:pt idx="2">
                  <c:v>0.11549999999999999</c:v>
                </c:pt>
                <c:pt idx="3">
                  <c:v>8.7779999999999997E-2</c:v>
                </c:pt>
                <c:pt idx="4">
                  <c:v>6.7590600000000001E-2</c:v>
                </c:pt>
              </c:numCache>
            </c:numRef>
          </c:val>
          <c:extLst>
            <c:ext xmlns:c16="http://schemas.microsoft.com/office/drawing/2014/chart" uri="{C3380CC4-5D6E-409C-BE32-E72D297353CC}">
              <c16:uniqueId val="{00000002-5CEF-467D-B52C-A016A12B3961}"/>
            </c:ext>
          </c:extLst>
        </c:ser>
        <c:ser>
          <c:idx val="3"/>
          <c:order val="3"/>
          <c:tx>
            <c:strRef>
              <c:f>Summarize!$E$11</c:f>
              <c:strCache>
                <c:ptCount val="1"/>
                <c:pt idx="0">
                  <c:v>Series-A</c:v>
                </c:pt>
              </c:strCache>
            </c:strRef>
          </c:tx>
          <c:spPr>
            <a:solidFill>
              <a:schemeClr val="accent2"/>
            </a:solidFill>
            <a:ln>
              <a:noFill/>
            </a:ln>
            <a:effectLst/>
          </c:spPr>
          <c:cat>
            <c:strRef>
              <c:f>Summarize!$A$12:$A$16</c:f>
              <c:strCache>
                <c:ptCount val="5"/>
                <c:pt idx="0">
                  <c:v>Pre-Seed</c:v>
                </c:pt>
                <c:pt idx="1">
                  <c:v>Seed</c:v>
                </c:pt>
                <c:pt idx="2">
                  <c:v>Series-A</c:v>
                </c:pt>
                <c:pt idx="3">
                  <c:v>Series-B</c:v>
                </c:pt>
                <c:pt idx="4">
                  <c:v>Series-C</c:v>
                </c:pt>
              </c:strCache>
            </c:strRef>
          </c:cat>
          <c:val>
            <c:numRef>
              <c:f>Summarize!$E$12:$E$16</c:f>
              <c:numCache>
                <c:formatCode>0.00%</c:formatCode>
                <c:ptCount val="5"/>
                <c:pt idx="0">
                  <c:v>0</c:v>
                </c:pt>
                <c:pt idx="1">
                  <c:v>0</c:v>
                </c:pt>
                <c:pt idx="2">
                  <c:v>0.13</c:v>
                </c:pt>
                <c:pt idx="3">
                  <c:v>9.8799999999999999E-2</c:v>
                </c:pt>
                <c:pt idx="4">
                  <c:v>7.6076000000000005E-2</c:v>
                </c:pt>
              </c:numCache>
            </c:numRef>
          </c:val>
          <c:extLst>
            <c:ext xmlns:c16="http://schemas.microsoft.com/office/drawing/2014/chart" uri="{C3380CC4-5D6E-409C-BE32-E72D297353CC}">
              <c16:uniqueId val="{00000003-5CEF-467D-B52C-A016A12B3961}"/>
            </c:ext>
          </c:extLst>
        </c:ser>
        <c:ser>
          <c:idx val="4"/>
          <c:order val="4"/>
          <c:tx>
            <c:strRef>
              <c:f>Summarize!$F$11</c:f>
              <c:strCache>
                <c:ptCount val="1"/>
                <c:pt idx="0">
                  <c:v>Series-B</c:v>
                </c:pt>
              </c:strCache>
            </c:strRef>
          </c:tx>
          <c:spPr>
            <a:solidFill>
              <a:schemeClr val="accent2">
                <a:tint val="83000"/>
              </a:schemeClr>
            </a:solidFill>
            <a:ln>
              <a:noFill/>
            </a:ln>
            <a:effectLst/>
          </c:spPr>
          <c:cat>
            <c:strRef>
              <c:f>Summarize!$A$12:$A$16</c:f>
              <c:strCache>
                <c:ptCount val="5"/>
                <c:pt idx="0">
                  <c:v>Pre-Seed</c:v>
                </c:pt>
                <c:pt idx="1">
                  <c:v>Seed</c:v>
                </c:pt>
                <c:pt idx="2">
                  <c:v>Series-A</c:v>
                </c:pt>
                <c:pt idx="3">
                  <c:v>Series-B</c:v>
                </c:pt>
                <c:pt idx="4">
                  <c:v>Series-C</c:v>
                </c:pt>
              </c:strCache>
            </c:strRef>
          </c:cat>
          <c:val>
            <c:numRef>
              <c:f>Summarize!$F$12:$F$16</c:f>
              <c:numCache>
                <c:formatCode>0.00%</c:formatCode>
                <c:ptCount val="5"/>
                <c:pt idx="0">
                  <c:v>0</c:v>
                </c:pt>
                <c:pt idx="1">
                  <c:v>0</c:v>
                </c:pt>
                <c:pt idx="2">
                  <c:v>0</c:v>
                </c:pt>
                <c:pt idx="3">
                  <c:v>0.14000000000000001</c:v>
                </c:pt>
                <c:pt idx="4">
                  <c:v>0.10780000000000001</c:v>
                </c:pt>
              </c:numCache>
            </c:numRef>
          </c:val>
          <c:extLst>
            <c:ext xmlns:c16="http://schemas.microsoft.com/office/drawing/2014/chart" uri="{C3380CC4-5D6E-409C-BE32-E72D297353CC}">
              <c16:uniqueId val="{00000004-5CEF-467D-B52C-A016A12B3961}"/>
            </c:ext>
          </c:extLst>
        </c:ser>
        <c:ser>
          <c:idx val="5"/>
          <c:order val="5"/>
          <c:tx>
            <c:strRef>
              <c:f>Summarize!$G$11</c:f>
              <c:strCache>
                <c:ptCount val="1"/>
                <c:pt idx="0">
                  <c:v>Series-C</c:v>
                </c:pt>
              </c:strCache>
            </c:strRef>
          </c:tx>
          <c:spPr>
            <a:solidFill>
              <a:schemeClr val="accent2">
                <a:tint val="65000"/>
              </a:schemeClr>
            </a:solidFill>
            <a:ln>
              <a:noFill/>
            </a:ln>
            <a:effectLst/>
          </c:spPr>
          <c:cat>
            <c:strRef>
              <c:f>Summarize!$A$12:$A$16</c:f>
              <c:strCache>
                <c:ptCount val="5"/>
                <c:pt idx="0">
                  <c:v>Pre-Seed</c:v>
                </c:pt>
                <c:pt idx="1">
                  <c:v>Seed</c:v>
                </c:pt>
                <c:pt idx="2">
                  <c:v>Series-A</c:v>
                </c:pt>
                <c:pt idx="3">
                  <c:v>Series-B</c:v>
                </c:pt>
                <c:pt idx="4">
                  <c:v>Series-C</c:v>
                </c:pt>
              </c:strCache>
            </c:strRef>
          </c:cat>
          <c:val>
            <c:numRef>
              <c:f>Summarize!$G$12:$G$16</c:f>
              <c:numCache>
                <c:formatCode>0.00%</c:formatCode>
                <c:ptCount val="5"/>
                <c:pt idx="0">
                  <c:v>0</c:v>
                </c:pt>
                <c:pt idx="1">
                  <c:v>0</c:v>
                </c:pt>
                <c:pt idx="2">
                  <c:v>0</c:v>
                </c:pt>
                <c:pt idx="3">
                  <c:v>0</c:v>
                </c:pt>
                <c:pt idx="4">
                  <c:v>0.13</c:v>
                </c:pt>
              </c:numCache>
            </c:numRef>
          </c:val>
          <c:extLst>
            <c:ext xmlns:c16="http://schemas.microsoft.com/office/drawing/2014/chart" uri="{C3380CC4-5D6E-409C-BE32-E72D297353CC}">
              <c16:uniqueId val="{00000005-5CEF-467D-B52C-A016A12B3961}"/>
            </c:ext>
          </c:extLst>
        </c:ser>
        <c:ser>
          <c:idx val="6"/>
          <c:order val="6"/>
          <c:tx>
            <c:v>ESOP Cumulative</c:v>
          </c:tx>
          <c:spPr>
            <a:solidFill>
              <a:schemeClr val="accent2">
                <a:tint val="48000"/>
              </a:schemeClr>
            </a:solidFill>
            <a:ln>
              <a:noFill/>
            </a:ln>
            <a:effectLst/>
          </c:spPr>
          <c:cat>
            <c:strRef>
              <c:f>Summarize!$A$12:$A$16</c:f>
              <c:strCache>
                <c:ptCount val="5"/>
                <c:pt idx="0">
                  <c:v>Pre-Seed</c:v>
                </c:pt>
                <c:pt idx="1">
                  <c:v>Seed</c:v>
                </c:pt>
                <c:pt idx="2">
                  <c:v>Series-A</c:v>
                </c:pt>
                <c:pt idx="3">
                  <c:v>Series-B</c:v>
                </c:pt>
                <c:pt idx="4">
                  <c:v>Series-C</c:v>
                </c:pt>
              </c:strCache>
            </c:strRef>
          </c:cat>
          <c:val>
            <c:numRef>
              <c:f>Summarize!$I$12:$I$16</c:f>
              <c:numCache>
                <c:formatCode>0.00%</c:formatCode>
                <c:ptCount val="5"/>
                <c:pt idx="0">
                  <c:v>0.1</c:v>
                </c:pt>
                <c:pt idx="1">
                  <c:v>0.17500000000000002</c:v>
                </c:pt>
                <c:pt idx="2">
                  <c:v>0.23475000000000001</c:v>
                </c:pt>
                <c:pt idx="3">
                  <c:v>0.27841000000000005</c:v>
                </c:pt>
                <c:pt idx="4">
                  <c:v>0.31437570000000004</c:v>
                </c:pt>
              </c:numCache>
            </c:numRef>
          </c:val>
          <c:extLst>
            <c:ext xmlns:c16="http://schemas.microsoft.com/office/drawing/2014/chart" uri="{C3380CC4-5D6E-409C-BE32-E72D297353CC}">
              <c16:uniqueId val="{00000006-5CEF-467D-B52C-A016A12B3961}"/>
            </c:ext>
          </c:extLst>
        </c:ser>
        <c:dLbls>
          <c:showLegendKey val="0"/>
          <c:showVal val="0"/>
          <c:showCatName val="0"/>
          <c:showSerName val="0"/>
          <c:showPercent val="0"/>
          <c:showBubbleSize val="0"/>
        </c:dLbls>
        <c:axId val="1136449663"/>
        <c:axId val="1136449183"/>
      </c:areaChart>
      <c:catAx>
        <c:axId val="113644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36449183"/>
        <c:crosses val="autoZero"/>
        <c:auto val="1"/>
        <c:lblAlgn val="ctr"/>
        <c:lblOffset val="100"/>
        <c:noMultiLvlLbl val="0"/>
      </c:catAx>
      <c:valAx>
        <c:axId val="1136449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36449663"/>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137883</xdr:colOff>
      <xdr:row>12</xdr:row>
      <xdr:rowOff>37353</xdr:rowOff>
    </xdr:from>
    <xdr:to>
      <xdr:col>20</xdr:col>
      <xdr:colOff>577689</xdr:colOff>
      <xdr:row>37</xdr:row>
      <xdr:rowOff>145964</xdr:rowOff>
    </xdr:to>
    <xdr:graphicFrame macro="">
      <xdr:nvGraphicFramePr>
        <xdr:cNvPr id="4" name="차트 3">
          <a:extLst>
            <a:ext uri="{FF2B5EF4-FFF2-40B4-BE49-F238E27FC236}">
              <a16:creationId xmlns:a16="http://schemas.microsoft.com/office/drawing/2014/main" id="{C165B791-C2C1-FFCE-F62F-553DCE120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1222470</xdr:colOff>
      <xdr:row>11</xdr:row>
      <xdr:rowOff>210523</xdr:rowOff>
    </xdr:from>
    <xdr:to>
      <xdr:col>29</xdr:col>
      <xdr:colOff>505502</xdr:colOff>
      <xdr:row>37</xdr:row>
      <xdr:rowOff>103879</xdr:rowOff>
    </xdr:to>
    <xdr:graphicFrame macro="">
      <xdr:nvGraphicFramePr>
        <xdr:cNvPr id="6" name="차트 5">
          <a:extLst>
            <a:ext uri="{FF2B5EF4-FFF2-40B4-BE49-F238E27FC236}">
              <a16:creationId xmlns:a16="http://schemas.microsoft.com/office/drawing/2014/main" id="{277EEF17-05E3-4092-9A01-4599FECB5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143290</xdr:colOff>
      <xdr:row>38</xdr:row>
      <xdr:rowOff>125502</xdr:rowOff>
    </xdr:from>
    <xdr:to>
      <xdr:col>20</xdr:col>
      <xdr:colOff>583096</xdr:colOff>
      <xdr:row>64</xdr:row>
      <xdr:rowOff>15506</xdr:rowOff>
    </xdr:to>
    <xdr:graphicFrame macro="">
      <xdr:nvGraphicFramePr>
        <xdr:cNvPr id="7" name="차트 6">
          <a:extLst>
            <a:ext uri="{FF2B5EF4-FFF2-40B4-BE49-F238E27FC236}">
              <a16:creationId xmlns:a16="http://schemas.microsoft.com/office/drawing/2014/main" id="{36BB0E08-4E04-43AC-ABDF-05F7C418C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1198002</xdr:colOff>
      <xdr:row>38</xdr:row>
      <xdr:rowOff>133798</xdr:rowOff>
    </xdr:from>
    <xdr:to>
      <xdr:col>29</xdr:col>
      <xdr:colOff>481034</xdr:colOff>
      <xdr:row>64</xdr:row>
      <xdr:rowOff>30742</xdr:rowOff>
    </xdr:to>
    <xdr:graphicFrame macro="">
      <xdr:nvGraphicFramePr>
        <xdr:cNvPr id="8" name="차트 7">
          <a:extLst>
            <a:ext uri="{FF2B5EF4-FFF2-40B4-BE49-F238E27FC236}">
              <a16:creationId xmlns:a16="http://schemas.microsoft.com/office/drawing/2014/main" id="{78467DF1-77AD-4901-83A8-CCECC78AA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82590</xdr:colOff>
      <xdr:row>12</xdr:row>
      <xdr:rowOff>61578</xdr:rowOff>
    </xdr:from>
    <xdr:to>
      <xdr:col>43</xdr:col>
      <xdr:colOff>644751</xdr:colOff>
      <xdr:row>40</xdr:row>
      <xdr:rowOff>163087</xdr:rowOff>
    </xdr:to>
    <xdr:graphicFrame macro="">
      <xdr:nvGraphicFramePr>
        <xdr:cNvPr id="11" name="차트 10">
          <a:extLst>
            <a:ext uri="{FF2B5EF4-FFF2-40B4-BE49-F238E27FC236}">
              <a16:creationId xmlns:a16="http://schemas.microsoft.com/office/drawing/2014/main" id="{2F6817A2-9BD5-7AB3-FCEB-D6CF09AED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6BE80-5ADD-49BE-BC15-A81DE1C3FAB8}" name="표1" displayName="표1" ref="A1:J6" totalsRowShown="0">
  <autoFilter ref="A1:J6" xr:uid="{1B26BE80-5ADD-49BE-BC15-A81DE1C3FAB8}"/>
  <tableColumns count="10">
    <tableColumn id="1" xr3:uid="{503B563A-2F8C-41CF-81DF-B49688EB64BC}" name="Round"/>
    <tableColumn id="2" xr3:uid="{75BAEDBA-B3B9-49C3-A58E-EC2E0515C13B}" name="Invest Amt" dataDxfId="81"/>
    <tableColumn id="3" xr3:uid="{ABF426FD-1BDC-4F48-86BF-F2F0B7BD0C5C}" name="Value (Cap min)" dataDxfId="80" dataCellStyle="쉼표 [0]"/>
    <tableColumn id="4" xr3:uid="{DADDE0D3-05D5-4C7C-AD46-0E8D65ACEF9E}" name="Value (Cap max)"/>
    <tableColumn id="5" xr3:uid="{3085582A-D98F-4074-9759-610EDEE95997}" name="Equity % (max)" dataDxfId="79" dataCellStyle="백분율">
      <calculatedColumnFormula>B2/C2</calculatedColumnFormula>
    </tableColumn>
    <tableColumn id="6" xr3:uid="{65240FBC-3117-4213-89E6-737D27FC1D57}" name="Equity % (min)" dataDxfId="78" dataCellStyle="백분율"/>
    <tableColumn id="7" xr3:uid="{003982B0-1AC4-4B87-8323-762C336D6885}" name="Put Option ROI" dataDxfId="77" dataCellStyle="백분율"/>
    <tableColumn id="8" xr3:uid="{8904ED97-FB08-4DA3-B17E-02E97EA7D21E}" name="Exit Amt" dataDxfId="76" dataCellStyle="백분율">
      <calculatedColumnFormula>G2*B2</calculatedColumnFormula>
    </tableColumn>
    <tableColumn id="9" xr3:uid="{C7DF7786-EB09-40EB-8534-E323A2780D24}" name="ESOP Refill"/>
    <tableColumn id="10" xr3:uid="{D2886A48-9F6A-4F51-A5BE-13D66B7F2D35}" name="Dilu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265B3C-37D2-4E74-BB15-C41275E5E6A7}" name="표2" displayName="표2" ref="A1:E7" totalsRowShown="0">
  <autoFilter ref="A1:E7" xr:uid="{BA265B3C-37D2-4E74-BB15-C41275E5E6A7}"/>
  <tableColumns count="5">
    <tableColumn id="1" xr3:uid="{9704D7C9-2EB0-4644-B80C-16193C157A54}" name="Round"/>
    <tableColumn id="2" xr3:uid="{60242E6B-A96D-4648-A553-65B2E17AE0A7}" name="Invest Amt" dataDxfId="75"/>
    <tableColumn id="3" xr3:uid="{8C7895CB-39AA-481B-B725-25180DF3FD26}" name="Token FDV" dataDxfId="74"/>
    <tableColumn id="4" xr3:uid="{53A17FFB-B847-42B2-BBA1-DCC2CD2D961D}" name="Token Allocation" dataDxfId="73"/>
    <tableColumn id="5" xr3:uid="{ADE27CA0-99F5-4042-B83E-0C4A5B004FED}" name="Token Value"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241E12-BE6B-494A-B897-74E3DAEABC68}" name="표2_56" displayName="표2_56" ref="A1:M6" totalsRowShown="0">
  <autoFilter ref="A1:M6" xr:uid="{E7241E12-BE6B-494A-B897-74E3DAEABC68}"/>
  <tableColumns count="13">
    <tableColumn id="1" xr3:uid="{1FE91C73-F704-4FBF-9CD2-203E2B761DF5}" name="Round"/>
    <tableColumn id="2" xr3:uid="{965EE6AB-73C4-4B9A-8472-669A9851E9A8}" name="Value (Cap min)" dataDxfId="71">
      <calculatedColumnFormula>표1[[#This Row],[Value (Cap min)]]</calculatedColumnFormula>
    </tableColumn>
    <tableColumn id="3" xr3:uid="{6837E793-9291-426D-84C0-5AFF31A346A1}" name="Equity %" dataDxfId="70" dataCellStyle="백분율"/>
    <tableColumn id="4" xr3:uid="{4528C19B-4CA1-4147-A35B-F117B9ADDC7E}" name="Equity Value" dataDxfId="69">
      <calculatedColumnFormula>표2_56[[#This Row],[Value (Cap min)]]*표2_56[[#This Row],[Equity %]]</calculatedColumnFormula>
    </tableColumn>
    <tableColumn id="5" xr3:uid="{AFB6DBD8-4845-472A-978C-43DAB9394B40}" name="Token FDV" dataDxfId="68">
      <calculatedColumnFormula>표2[[#This Row],[Token FDV]]</calculatedColumnFormula>
    </tableColumn>
    <tableColumn id="6" xr3:uid="{09C8EB28-2DAA-4773-A7C7-D40E33BAEF0F}" name="Token Allocation" dataDxfId="67"/>
    <tableColumn id="7" xr3:uid="{669891E4-525B-4D93-B8D9-EC039B7A4F90}" name="Token Value" dataDxfId="66">
      <calculatedColumnFormula>E2*F2</calculatedColumnFormula>
    </tableColumn>
    <tableColumn id="8" xr3:uid="{9C9F65A8-EA5C-4F22-A940-31E9F01A519B}" name="Option ROI" dataDxfId="65"/>
    <tableColumn id="9" xr3:uid="{0FCBEF13-16D0-415E-B156-FF85A17B47FF}" name="Option Value" dataDxfId="64">
      <calculatedColumnFormula>표2_56[[#This Row],[Equity Value]]*표2_56[[#This Row],[Option ROI]]</calculatedColumnFormula>
    </tableColumn>
    <tableColumn id="10" xr3:uid="{A966A448-55AD-4AB6-9BF1-5585A71A03E1}" name="ROI (Abs, Opt)" dataDxfId="63">
      <calculatedColumnFormula>표2_56[[#This Row],[Option Value]]+표2_56[[#This Row],[Token Value]]</calculatedColumnFormula>
    </tableColumn>
    <tableColumn id="11" xr3:uid="{526A38E6-B504-4561-ABBF-04FEAEC83442}" name="ROI (Abs, NoOpt)" dataDxfId="62">
      <calculatedColumnFormula>표2_56[[#This Row],[Equity Value]]+표2_56[[#This Row],[Token Value]]</calculatedColumnFormula>
    </tableColumn>
    <tableColumn id="12" xr3:uid="{9894C805-5B51-47B3-9058-E7847BB7899F}" name="ROI % (Opt)" dataDxfId="61" dataCellStyle="백분율">
      <calculatedColumnFormula>표2_56[[#This Row],[ROI (Abs, Opt)]]/D2</calculatedColumnFormula>
    </tableColumn>
    <tableColumn id="13" xr3:uid="{EA96E95F-88FA-4897-8B6E-41287F4008FE}" name="ROI % (NoOpt)" dataDxfId="60" dataCellStyle="백분율">
      <calculatedColumnFormula>표2_56[[#This Row],[ROI (Abs, NoOpt)]]/D2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F1C7A9-2397-4632-BFD9-E6E7F8AB9740}" name="표2_564" displayName="표2_564" ref="A1:M6" totalsRowShown="0">
  <autoFilter ref="A1:M6" xr:uid="{5CF1C7A9-2397-4632-BFD9-E6E7F8AB9740}"/>
  <tableColumns count="13">
    <tableColumn id="1" xr3:uid="{27D06EA2-1860-498A-9A12-A7D591BF9FA2}" name="Round"/>
    <tableColumn id="2" xr3:uid="{5F117174-3526-4290-A31F-94BA6CFB8696}" name="Value (Cap min)" dataDxfId="59">
      <calculatedColumnFormula>표1[[#This Row],[Value (Cap min)]]</calculatedColumnFormula>
    </tableColumn>
    <tableColumn id="3" xr3:uid="{55BEAF34-2BD6-4928-93FD-870A1E3379E6}" name="Equity %" dataDxfId="58" dataCellStyle="백분율"/>
    <tableColumn id="4" xr3:uid="{6B347ACB-F5D8-42C5-890C-B5A58702207C}" name="Equity Value" dataDxfId="57">
      <calculatedColumnFormula>표2_564[[#This Row],[Value (Cap min)]]*표2_564[[#This Row],[Equity %]]</calculatedColumnFormula>
    </tableColumn>
    <tableColumn id="5" xr3:uid="{7440FC9C-1C35-4357-872B-2180DD5C53BA}" name="Token FDV" dataDxfId="56">
      <calculatedColumnFormula>표2[[#This Row],[Token FDV]]</calculatedColumnFormula>
    </tableColumn>
    <tableColumn id="6" xr3:uid="{7EB94D1D-F146-4A74-9947-EDA7A25B369C}" name="Token Allocation" dataDxfId="55"/>
    <tableColumn id="7" xr3:uid="{2D01816D-46F2-4F50-880C-B9EAD9522741}" name="Token Value" dataDxfId="54">
      <calculatedColumnFormula>E2*F2</calculatedColumnFormula>
    </tableColumn>
    <tableColumn id="8" xr3:uid="{BF87CF11-2418-4C24-9751-8FC6B618DD03}" name="Option ROI" dataDxfId="53"/>
    <tableColumn id="9" xr3:uid="{3F0A5778-7837-4244-9BC0-0584D9A5F632}" name="Option Value" dataDxfId="52">
      <calculatedColumnFormula>표2_564[[#This Row],[Equity Value]]*표2_564[[#This Row],[Option ROI]]</calculatedColumnFormula>
    </tableColumn>
    <tableColumn id="10" xr3:uid="{359EB25C-3710-43E2-ABF6-27CD71C54341}" name="ROI (Abs, Opt)" dataDxfId="51">
      <calculatedColumnFormula>표2_564[[#This Row],[Option Value]]+표2_564[[#This Row],[Token Value]]</calculatedColumnFormula>
    </tableColumn>
    <tableColumn id="11" xr3:uid="{07055040-7DDB-4367-A264-29A7034EBE3E}" name="ROI (Abs, NoOpt)" dataDxfId="50">
      <calculatedColumnFormula>표2_564[[#This Row],[Equity Value]]+표2_564[[#This Row],[Token Value]]</calculatedColumnFormula>
    </tableColumn>
    <tableColumn id="12" xr3:uid="{5484BE0F-CD35-4F9A-9B53-A3D3FAFD9EBB}" name="ROI % (Opt)" dataDxfId="49" dataCellStyle="백분율">
      <calculatedColumnFormula>표2_564[[#This Row],[ROI (Abs, Opt)]]/D2</calculatedColumnFormula>
    </tableColumn>
    <tableColumn id="13" xr3:uid="{B99FD00F-A0A7-4126-9BA7-55DCA80EC208}" name="ROI % (NoOpt)" dataDxfId="48" dataCellStyle="백분율">
      <calculatedColumnFormula>표2_564[[#This Row],[ROI (Abs, NoOpt)]]/D2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A1BC8E7-C649-479C-BA6A-E84A86C260A8}" name="표2_5645" displayName="표2_5645" ref="A1:M6" totalsRowShown="0">
  <autoFilter ref="A1:M6" xr:uid="{FA1BC8E7-C649-479C-BA6A-E84A86C260A8}"/>
  <tableColumns count="13">
    <tableColumn id="1" xr3:uid="{D7EAEC52-755C-41D0-9C32-52529E55AACA}" name="Round"/>
    <tableColumn id="2" xr3:uid="{1BC45B10-E90E-4C77-B0A5-B98A035F5146}" name="Value (Cap min)" dataDxfId="47">
      <calculatedColumnFormula>표1[[#This Row],[Value (Cap min)]]</calculatedColumnFormula>
    </tableColumn>
    <tableColumn id="3" xr3:uid="{7E60110F-317F-4A6E-8C25-72BEA2805D69}" name="Equity %" dataDxfId="46" dataCellStyle="백분율"/>
    <tableColumn id="4" xr3:uid="{4DD5577E-B6F3-4742-AED9-DF85C059F18A}" name="Equity Value" dataDxfId="45">
      <calculatedColumnFormula>표2_5645[[#This Row],[Value (Cap min)]]*표2_5645[[#This Row],[Equity %]]</calculatedColumnFormula>
    </tableColumn>
    <tableColumn id="5" xr3:uid="{8937968C-5403-4333-817D-013708B86C1A}" name="Token FDV" dataDxfId="44">
      <calculatedColumnFormula>표2[[#This Row],[Token FDV]]</calculatedColumnFormula>
    </tableColumn>
    <tableColumn id="6" xr3:uid="{06F4E1FE-0220-467A-B6E9-9DDE869E98DE}" name="Token Allocation" dataDxfId="43"/>
    <tableColumn id="7" xr3:uid="{8E0A2469-E19C-4DB0-9603-B7A480487331}" name="Token Value" dataDxfId="42">
      <calculatedColumnFormula>E2*F2</calculatedColumnFormula>
    </tableColumn>
    <tableColumn id="8" xr3:uid="{E3820926-4786-47A8-B12F-B9FA1DDA775C}" name="Option ROI" dataDxfId="41"/>
    <tableColumn id="9" xr3:uid="{D524CC46-9AAB-442F-BE7A-6CD5368E9774}" name="Option Value" dataDxfId="40">
      <calculatedColumnFormula>표2_5645[[#This Row],[Equity Value]]*표2_5645[[#This Row],[Option ROI]]</calculatedColumnFormula>
    </tableColumn>
    <tableColumn id="10" xr3:uid="{C04AF3EC-753E-400B-863B-CB547E7EB7F0}" name="ROI (Abs, Opt)" dataDxfId="39">
      <calculatedColumnFormula>표2_5645[[#This Row],[Option Value]]+표2_5645[[#This Row],[Token Value]]</calculatedColumnFormula>
    </tableColumn>
    <tableColumn id="11" xr3:uid="{90C448E1-ABA9-4B6F-A7D6-67676EFF8DD6}" name="ROI (Abs, NoOpt)" dataDxfId="38">
      <calculatedColumnFormula>표2_5645[[#This Row],[Equity Value]]+표2_5645[[#This Row],[Token Value]]</calculatedColumnFormula>
    </tableColumn>
    <tableColumn id="12" xr3:uid="{106F1232-A839-495C-B1BB-B3CF2EE0D559}" name="ROI % (Opt)" dataDxfId="37" dataCellStyle="백분율">
      <calculatedColumnFormula>표2_5645[[#This Row],[ROI (Abs, Opt)]]/D2</calculatedColumnFormula>
    </tableColumn>
    <tableColumn id="13" xr3:uid="{0F41012B-1384-429F-A41C-151A7D759106}" name="ROI % (NoOpt)" dataDxfId="36" dataCellStyle="백분율">
      <calculatedColumnFormula>표2_5645[[#This Row],[ROI (Abs, NoOpt)]]/D2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01E1BAF-C8E9-48AE-B07C-B21558C6B37C}" name="표2_56457" displayName="표2_56457" ref="A1:M6" totalsRowShown="0">
  <autoFilter ref="A1:M6" xr:uid="{801E1BAF-C8E9-48AE-B07C-B21558C6B37C}"/>
  <tableColumns count="13">
    <tableColumn id="1" xr3:uid="{ED633BE7-E70D-4432-A72D-D10B499F894D}" name="Round"/>
    <tableColumn id="2" xr3:uid="{FD127BBB-0DA2-4FDB-80D2-D08C76022BA3}" name="Value (Cap min)" dataDxfId="35">
      <calculatedColumnFormula>표1[[#This Row],[Value (Cap min)]]</calculatedColumnFormula>
    </tableColumn>
    <tableColumn id="3" xr3:uid="{9AB6D826-18A1-4E94-9FD1-874A2295C4F8}" name="Equity %" dataDxfId="34" dataCellStyle="백분율"/>
    <tableColumn id="4" xr3:uid="{277DA434-0FB4-4BBE-9ABC-C4620EF89E40}" name="Equity Value" dataDxfId="33">
      <calculatedColumnFormula>표2_56457[[#This Row],[Value (Cap min)]]*표2_56457[[#This Row],[Equity %]]</calculatedColumnFormula>
    </tableColumn>
    <tableColumn id="5" xr3:uid="{ED730FF7-D9B2-4A3C-B3F0-463EF3106671}" name="Token FDV" dataDxfId="32">
      <calculatedColumnFormula>표2[[#This Row],[Token FDV]]</calculatedColumnFormula>
    </tableColumn>
    <tableColumn id="6" xr3:uid="{642AC553-F28C-41AC-977F-9701043C7B29}" name="Token Allocation" dataDxfId="31"/>
    <tableColumn id="7" xr3:uid="{41C15929-3510-4574-8677-60DE393BDCCF}" name="Token Value" dataDxfId="30">
      <calculatedColumnFormula>E2*F2</calculatedColumnFormula>
    </tableColumn>
    <tableColumn id="8" xr3:uid="{D834C17B-31A8-4BA9-895E-BA6DA3824E8F}" name="Option ROI" dataDxfId="29"/>
    <tableColumn id="9" xr3:uid="{23719673-2D66-40CB-A5F8-F663A50777F2}" name="Option Value" dataDxfId="28">
      <calculatedColumnFormula>표2_56457[[#This Row],[Equity Value]]*표2_56457[[#This Row],[Option ROI]]</calculatedColumnFormula>
    </tableColumn>
    <tableColumn id="10" xr3:uid="{0E929B4F-7A0F-49DC-AD02-E66265930B41}" name="ROI (Abs, Opt)" dataDxfId="27">
      <calculatedColumnFormula>표2_56457[[#This Row],[Option Value]]+표2_56457[[#This Row],[Token Value]]</calculatedColumnFormula>
    </tableColumn>
    <tableColumn id="11" xr3:uid="{0341D207-D7E0-4772-8438-55CFDC24A924}" name="ROI (Abs, NoOpt)" dataDxfId="26">
      <calculatedColumnFormula>표2_56457[[#This Row],[Equity Value]]+표2_56457[[#This Row],[Token Value]]</calculatedColumnFormula>
    </tableColumn>
    <tableColumn id="12" xr3:uid="{E6F30CCC-48BB-49A7-8822-FD417F5E98E2}" name="ROI % (Opt)" dataDxfId="25" dataCellStyle="백분율">
      <calculatedColumnFormula>표2_56457[[#This Row],[ROI (Abs, Opt)]]/D2</calculatedColumnFormula>
    </tableColumn>
    <tableColumn id="13" xr3:uid="{7E9EFC71-6E7E-4FF8-8108-A64AE972B8CE}" name="ROI % (NoOpt)" dataDxfId="24" dataCellStyle="백분율">
      <calculatedColumnFormula>표2_56457[[#This Row],[ROI (Abs, NoOpt)]]/D2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4F0035D-AB2E-4279-A507-442E6DF1DFA0}" name="표2_564579" displayName="표2_564579" ref="A1:M6" totalsRowShown="0">
  <autoFilter ref="A1:M6" xr:uid="{14F0035D-AB2E-4279-A507-442E6DF1DFA0}"/>
  <tableColumns count="13">
    <tableColumn id="1" xr3:uid="{62CF27A4-0553-43EF-9C9E-94838977C772}" name="Round"/>
    <tableColumn id="2" xr3:uid="{E547BB95-F6BB-461E-9D1D-E53AFABEDE04}" name="Value (Cap min)" dataDxfId="23">
      <calculatedColumnFormula>표1[[#This Row],[Value (Cap min)]]</calculatedColumnFormula>
    </tableColumn>
    <tableColumn id="3" xr3:uid="{5AD81F76-CB50-4953-9DB4-CDDDBB9CBFDA}" name="Equity %" dataDxfId="22" dataCellStyle="백분율"/>
    <tableColumn id="4" xr3:uid="{34CCAB77-8802-4817-B596-7F0C2AACAFC1}" name="Equity Value" dataDxfId="21">
      <calculatedColumnFormula>표2_564579[[#This Row],[Value (Cap min)]]*표2_564579[[#This Row],[Equity %]]</calculatedColumnFormula>
    </tableColumn>
    <tableColumn id="5" xr3:uid="{8E0F1C62-D6A9-4FFE-A164-0A2577673CBE}" name="Token FDV" dataDxfId="20">
      <calculatedColumnFormula>표2[[#This Row],[Token FDV]]</calculatedColumnFormula>
    </tableColumn>
    <tableColumn id="6" xr3:uid="{B0242EA5-19DF-4882-8788-E138CC73723A}" name="Token Allocation" dataDxfId="19"/>
    <tableColumn id="7" xr3:uid="{97467489-0842-4028-8A03-2F8A75406E62}" name="Token Value" dataDxfId="18">
      <calculatedColumnFormula>E2*F2</calculatedColumnFormula>
    </tableColumn>
    <tableColumn id="8" xr3:uid="{5D43B86A-3D3F-40A9-9060-DC553CE3058A}" name="Option ROI" dataDxfId="17"/>
    <tableColumn id="9" xr3:uid="{73C1856F-967C-4722-9DBB-3C08CE90CAFE}" name="Option Value" dataDxfId="16">
      <calculatedColumnFormula>표2_564579[[#This Row],[Equity Value]]*표2_564579[[#This Row],[Option ROI]]</calculatedColumnFormula>
    </tableColumn>
    <tableColumn id="10" xr3:uid="{B87E0CF2-F203-442B-8A36-C12E2F209497}" name="ROI (Abs, Opt)" dataDxfId="15">
      <calculatedColumnFormula>표2_564579[[#This Row],[Option Value]]+표2_564579[[#This Row],[Token Value]]</calculatedColumnFormula>
    </tableColumn>
    <tableColumn id="11" xr3:uid="{20B4C1F7-0C52-430F-88FB-3CA979BA7A5E}" name="ROI (Abs, NoOpt)" dataDxfId="14">
      <calculatedColumnFormula>표2_564579[[#This Row],[Equity Value]]+표2_564579[[#This Row],[Token Value]]</calculatedColumnFormula>
    </tableColumn>
    <tableColumn id="12" xr3:uid="{CA4B4183-E62A-4884-A2A9-8D54BC0E84DD}" name="ROI % (Opt)" dataDxfId="13" dataCellStyle="백분율">
      <calculatedColumnFormula>표2_564579[[#This Row],[ROI (Abs, Opt)]]/D2</calculatedColumnFormula>
    </tableColumn>
    <tableColumn id="13" xr3:uid="{6279BF13-03E9-4AB7-A594-03FD3C67CDE1}" name="ROI % (NoOpt)" dataDxfId="12" dataCellStyle="백분율">
      <calculatedColumnFormula>표2_564579[[#This Row],[ROI (Abs, NoOpt)]]/D2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F383425-51FD-4A82-BB64-9D20CB1872F6}" name="표2_56457910" displayName="표2_56457910" ref="A1:M6" totalsRowShown="0">
  <autoFilter ref="A1:M6" xr:uid="{2F383425-51FD-4A82-BB64-9D20CB1872F6}"/>
  <tableColumns count="13">
    <tableColumn id="1" xr3:uid="{0336281A-0F61-4EAF-BBA0-F6FA5DA02F31}" name="Round"/>
    <tableColumn id="2" xr3:uid="{655564BE-83D9-4725-9253-4F69D12808B1}" name="Value (Cap min)" dataDxfId="11">
      <calculatedColumnFormula>표1[[#This Row],[Value (Cap min)]]</calculatedColumnFormula>
    </tableColumn>
    <tableColumn id="3" xr3:uid="{3C2AD027-5306-4265-967A-C3B25ABB7976}" name="Equity %" dataDxfId="10" dataCellStyle="백분율"/>
    <tableColumn id="4" xr3:uid="{5725EDB9-DFF9-43AF-8DBD-337A60E84308}" name="Equity Value" dataDxfId="9">
      <calculatedColumnFormula>표2_56457910[[#This Row],[Value (Cap min)]]*표2_56457910[[#This Row],[Equity %]]</calculatedColumnFormula>
    </tableColumn>
    <tableColumn id="5" xr3:uid="{BAFFFCA9-2928-4AED-8E2A-921C2231D809}" name="Token FDV" dataDxfId="8">
      <calculatedColumnFormula>표2[[#This Row],[Token FDV]]</calculatedColumnFormula>
    </tableColumn>
    <tableColumn id="6" xr3:uid="{BB3AD555-F3B6-4B61-9A31-88C8C27F3621}" name="Token Allocation" dataDxfId="7"/>
    <tableColumn id="7" xr3:uid="{D2AB8381-EC74-4C85-B40E-72CA66414F7A}" name="Token Value" dataDxfId="6">
      <calculatedColumnFormula>E2*F2</calculatedColumnFormula>
    </tableColumn>
    <tableColumn id="8" xr3:uid="{DC8C32FB-4B02-4F96-9B67-7A7C7B70B20B}" name="Option ROI" dataDxfId="5"/>
    <tableColumn id="9" xr3:uid="{40A7CA72-CBFF-480B-94A9-F073F30DC69D}" name="Option Value" dataDxfId="4">
      <calculatedColumnFormula>표2_56457910[[#This Row],[Equity Value]]*표2_56457910[[#This Row],[Option ROI]]</calculatedColumnFormula>
    </tableColumn>
    <tableColumn id="10" xr3:uid="{BAB9AA75-45D9-4C8C-8930-A3BCF0322757}" name="ROI (Abs, Opt)" dataDxfId="3">
      <calculatedColumnFormula>표2_56457910[[#This Row],[Option Value]]+표2_56457910[[#This Row],[Token Value]]</calculatedColumnFormula>
    </tableColumn>
    <tableColumn id="11" xr3:uid="{C46EFAB6-A528-46B6-9343-B4B38D2BF267}" name="ROI (Abs, NoOpt)" dataDxfId="2">
      <calculatedColumnFormula>표2_56457910[[#This Row],[Equity Value]]+표2_56457910[[#This Row],[Token Value]]</calculatedColumnFormula>
    </tableColumn>
    <tableColumn id="12" xr3:uid="{8BB6474F-9104-4CE0-B94B-1BA519A1ED1F}" name="ROI % (Opt)" dataDxfId="1" dataCellStyle="백분율">
      <calculatedColumnFormula>표2_56457910[[#This Row],[ROI (Abs, Opt)]]/D2</calculatedColumnFormula>
    </tableColumn>
    <tableColumn id="13" xr3:uid="{575287C8-97C9-4313-B037-35723E7FCCDF}" name="ROI % (NoOpt)" dataDxfId="0" dataCellStyle="백분율">
      <calculatedColumnFormula>표2_56457910[[#This Row],[ROI (Abs, NoOpt)]]/D2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테마">
  <a:themeElements>
    <a:clrScheme name="기류">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6C5D0-0AFD-443A-9939-24E26CFAEEB8}">
  <dimension ref="A1:J23"/>
  <sheetViews>
    <sheetView tabSelected="1" workbookViewId="0">
      <selection activeCell="L5" sqref="L5"/>
    </sheetView>
  </sheetViews>
  <sheetFormatPr defaultRowHeight="17" x14ac:dyDescent="0.45"/>
  <sheetData>
    <row r="1" spans="1:10" ht="17" customHeight="1" x14ac:dyDescent="0.45">
      <c r="A1" s="79" t="s">
        <v>59</v>
      </c>
      <c r="B1" s="80"/>
      <c r="C1" s="80"/>
      <c r="D1" s="80"/>
      <c r="E1" s="80"/>
      <c r="F1" s="80"/>
      <c r="G1" s="80"/>
      <c r="H1" s="80"/>
      <c r="I1" s="80"/>
      <c r="J1" s="81"/>
    </row>
    <row r="2" spans="1:10" x14ac:dyDescent="0.45">
      <c r="A2" s="82"/>
      <c r="B2" s="83"/>
      <c r="C2" s="83"/>
      <c r="D2" s="83"/>
      <c r="E2" s="83"/>
      <c r="F2" s="83"/>
      <c r="G2" s="83"/>
      <c r="H2" s="83"/>
      <c r="I2" s="83"/>
      <c r="J2" s="84"/>
    </row>
    <row r="3" spans="1:10" x14ac:dyDescent="0.45">
      <c r="A3" s="82"/>
      <c r="B3" s="83"/>
      <c r="C3" s="83"/>
      <c r="D3" s="83"/>
      <c r="E3" s="83"/>
      <c r="F3" s="83"/>
      <c r="G3" s="83"/>
      <c r="H3" s="83"/>
      <c r="I3" s="83"/>
      <c r="J3" s="84"/>
    </row>
    <row r="4" spans="1:10" x14ac:dyDescent="0.45">
      <c r="A4" s="82"/>
      <c r="B4" s="83"/>
      <c r="C4" s="83"/>
      <c r="D4" s="83"/>
      <c r="E4" s="83"/>
      <c r="F4" s="83"/>
      <c r="G4" s="83"/>
      <c r="H4" s="83"/>
      <c r="I4" s="83"/>
      <c r="J4" s="84"/>
    </row>
    <row r="5" spans="1:10" x14ac:dyDescent="0.45">
      <c r="A5" s="82"/>
      <c r="B5" s="83"/>
      <c r="C5" s="83"/>
      <c r="D5" s="83"/>
      <c r="E5" s="83"/>
      <c r="F5" s="83"/>
      <c r="G5" s="83"/>
      <c r="H5" s="83"/>
      <c r="I5" s="83"/>
      <c r="J5" s="84"/>
    </row>
    <row r="6" spans="1:10" x14ac:dyDescent="0.45">
      <c r="A6" s="82"/>
      <c r="B6" s="83"/>
      <c r="C6" s="83"/>
      <c r="D6" s="83"/>
      <c r="E6" s="83"/>
      <c r="F6" s="83"/>
      <c r="G6" s="83"/>
      <c r="H6" s="83"/>
      <c r="I6" s="83"/>
      <c r="J6" s="84"/>
    </row>
    <row r="7" spans="1:10" x14ac:dyDescent="0.45">
      <c r="A7" s="82"/>
      <c r="B7" s="83"/>
      <c r="C7" s="83"/>
      <c r="D7" s="83"/>
      <c r="E7" s="83"/>
      <c r="F7" s="83"/>
      <c r="G7" s="83"/>
      <c r="H7" s="83"/>
      <c r="I7" s="83"/>
      <c r="J7" s="84"/>
    </row>
    <row r="8" spans="1:10" x14ac:dyDescent="0.45">
      <c r="A8" s="82"/>
      <c r="B8" s="83"/>
      <c r="C8" s="83"/>
      <c r="D8" s="83"/>
      <c r="E8" s="83"/>
      <c r="F8" s="83"/>
      <c r="G8" s="83"/>
      <c r="H8" s="83"/>
      <c r="I8" s="83"/>
      <c r="J8" s="84"/>
    </row>
    <row r="9" spans="1:10" x14ac:dyDescent="0.45">
      <c r="A9" s="82"/>
      <c r="B9" s="83"/>
      <c r="C9" s="83"/>
      <c r="D9" s="83"/>
      <c r="E9" s="83"/>
      <c r="F9" s="83"/>
      <c r="G9" s="83"/>
      <c r="H9" s="83"/>
      <c r="I9" s="83"/>
      <c r="J9" s="84"/>
    </row>
    <row r="10" spans="1:10" ht="17.5" thickBot="1" x14ac:dyDescent="0.5">
      <c r="A10" s="85"/>
      <c r="B10" s="86"/>
      <c r="C10" s="86"/>
      <c r="D10" s="86"/>
      <c r="E10" s="86"/>
      <c r="F10" s="86"/>
      <c r="G10" s="86"/>
      <c r="H10" s="86"/>
      <c r="I10" s="86"/>
      <c r="J10" s="87"/>
    </row>
    <row r="11" spans="1:10" ht="17" customHeight="1" x14ac:dyDescent="0.45">
      <c r="A11" s="70" t="s">
        <v>58</v>
      </c>
      <c r="B11" s="71"/>
      <c r="C11" s="71"/>
      <c r="D11" s="71"/>
      <c r="E11" s="71"/>
      <c r="F11" s="71"/>
      <c r="G11" s="71"/>
      <c r="H11" s="71"/>
      <c r="I11" s="71"/>
      <c r="J11" s="72"/>
    </row>
    <row r="12" spans="1:10" x14ac:dyDescent="0.45">
      <c r="A12" s="73"/>
      <c r="B12" s="74"/>
      <c r="C12" s="74"/>
      <c r="D12" s="74"/>
      <c r="E12" s="74"/>
      <c r="F12" s="74"/>
      <c r="G12" s="74"/>
      <c r="H12" s="74"/>
      <c r="I12" s="74"/>
      <c r="J12" s="75"/>
    </row>
    <row r="13" spans="1:10" x14ac:dyDescent="0.45">
      <c r="A13" s="73"/>
      <c r="B13" s="74"/>
      <c r="C13" s="74"/>
      <c r="D13" s="74"/>
      <c r="E13" s="74"/>
      <c r="F13" s="74"/>
      <c r="G13" s="74"/>
      <c r="H13" s="74"/>
      <c r="I13" s="74"/>
      <c r="J13" s="75"/>
    </row>
    <row r="14" spans="1:10" x14ac:dyDescent="0.45">
      <c r="A14" s="73"/>
      <c r="B14" s="74"/>
      <c r="C14" s="74"/>
      <c r="D14" s="74"/>
      <c r="E14" s="74"/>
      <c r="F14" s="74"/>
      <c r="G14" s="74"/>
      <c r="H14" s="74"/>
      <c r="I14" s="74"/>
      <c r="J14" s="75"/>
    </row>
    <row r="15" spans="1:10" x14ac:dyDescent="0.45">
      <c r="A15" s="73"/>
      <c r="B15" s="74"/>
      <c r="C15" s="74"/>
      <c r="D15" s="74"/>
      <c r="E15" s="74"/>
      <c r="F15" s="74"/>
      <c r="G15" s="74"/>
      <c r="H15" s="74"/>
      <c r="I15" s="74"/>
      <c r="J15" s="75"/>
    </row>
    <row r="16" spans="1:10" x14ac:dyDescent="0.45">
      <c r="A16" s="73"/>
      <c r="B16" s="74"/>
      <c r="C16" s="74"/>
      <c r="D16" s="74"/>
      <c r="E16" s="74"/>
      <c r="F16" s="74"/>
      <c r="G16" s="74"/>
      <c r="H16" s="74"/>
      <c r="I16" s="74"/>
      <c r="J16" s="75"/>
    </row>
    <row r="17" spans="1:10" x14ac:dyDescent="0.45">
      <c r="A17" s="73"/>
      <c r="B17" s="74"/>
      <c r="C17" s="74"/>
      <c r="D17" s="74"/>
      <c r="E17" s="74"/>
      <c r="F17" s="74"/>
      <c r="G17" s="74"/>
      <c r="H17" s="74"/>
      <c r="I17" s="74"/>
      <c r="J17" s="75"/>
    </row>
    <row r="18" spans="1:10" x14ac:dyDescent="0.45">
      <c r="A18" s="73"/>
      <c r="B18" s="74"/>
      <c r="C18" s="74"/>
      <c r="D18" s="74"/>
      <c r="E18" s="74"/>
      <c r="F18" s="74"/>
      <c r="G18" s="74"/>
      <c r="H18" s="74"/>
      <c r="I18" s="74"/>
      <c r="J18" s="75"/>
    </row>
    <row r="19" spans="1:10" x14ac:dyDescent="0.45">
      <c r="A19" s="73"/>
      <c r="B19" s="74"/>
      <c r="C19" s="74"/>
      <c r="D19" s="74"/>
      <c r="E19" s="74"/>
      <c r="F19" s="74"/>
      <c r="G19" s="74"/>
      <c r="H19" s="74"/>
      <c r="I19" s="74"/>
      <c r="J19" s="75"/>
    </row>
    <row r="20" spans="1:10" x14ac:dyDescent="0.45">
      <c r="A20" s="73"/>
      <c r="B20" s="74"/>
      <c r="C20" s="74"/>
      <c r="D20" s="74"/>
      <c r="E20" s="74"/>
      <c r="F20" s="74"/>
      <c r="G20" s="74"/>
      <c r="H20" s="74"/>
      <c r="I20" s="74"/>
      <c r="J20" s="75"/>
    </row>
    <row r="21" spans="1:10" x14ac:dyDescent="0.45">
      <c r="A21" s="73"/>
      <c r="B21" s="74"/>
      <c r="C21" s="74"/>
      <c r="D21" s="74"/>
      <c r="E21" s="74"/>
      <c r="F21" s="74"/>
      <c r="G21" s="74"/>
      <c r="H21" s="74"/>
      <c r="I21" s="74"/>
      <c r="J21" s="75"/>
    </row>
    <row r="22" spans="1:10" x14ac:dyDescent="0.45">
      <c r="A22" s="73"/>
      <c r="B22" s="74"/>
      <c r="C22" s="74"/>
      <c r="D22" s="74"/>
      <c r="E22" s="74"/>
      <c r="F22" s="74"/>
      <c r="G22" s="74"/>
      <c r="H22" s="74"/>
      <c r="I22" s="74"/>
      <c r="J22" s="75"/>
    </row>
    <row r="23" spans="1:10" ht="17.5" thickBot="1" x14ac:dyDescent="0.5">
      <c r="A23" s="76"/>
      <c r="B23" s="77"/>
      <c r="C23" s="77"/>
      <c r="D23" s="77"/>
      <c r="E23" s="77"/>
      <c r="F23" s="77"/>
      <c r="G23" s="77"/>
      <c r="H23" s="77"/>
      <c r="I23" s="77"/>
      <c r="J23" s="78"/>
    </row>
  </sheetData>
  <mergeCells count="2">
    <mergeCell ref="A1:J10"/>
    <mergeCell ref="A11:J23"/>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41C7-927A-48B1-BE48-1A7CE1D69B9A}">
  <dimension ref="A1:M6"/>
  <sheetViews>
    <sheetView workbookViewId="0">
      <selection activeCell="C6" sqref="C6"/>
    </sheetView>
  </sheetViews>
  <sheetFormatPr defaultRowHeight="17" x14ac:dyDescent="0.45"/>
  <cols>
    <col min="1" max="1" width="9.08203125" bestFit="1" customWidth="1"/>
    <col min="2" max="2" width="17.9140625" bestFit="1" customWidth="1"/>
    <col min="3" max="3" width="11.08203125" bestFit="1" customWidth="1"/>
    <col min="4" max="4" width="14.5" bestFit="1" customWidth="1"/>
    <col min="5" max="5" width="15.1640625" bestFit="1" customWidth="1"/>
    <col min="6" max="6" width="18.58203125" bestFit="1" customWidth="1"/>
    <col min="7" max="7" width="14.9140625" bestFit="1" customWidth="1"/>
    <col min="8" max="8" width="13.33203125" bestFit="1" customWidth="1"/>
    <col min="9" max="9" width="15.1640625" bestFit="1" customWidth="1"/>
    <col min="10" max="10" width="16.58203125" bestFit="1" customWidth="1"/>
    <col min="11" max="11" width="19.4140625" bestFit="1" customWidth="1"/>
    <col min="12" max="12" width="14.25" bestFit="1" customWidth="1"/>
    <col min="13" max="13" width="17.08203125" bestFit="1" customWidth="1"/>
  </cols>
  <sheetData>
    <row r="1" spans="1:13" x14ac:dyDescent="0.45">
      <c r="A1" t="s">
        <v>0</v>
      </c>
      <c r="B1" t="s">
        <v>13</v>
      </c>
      <c r="C1" s="14" t="s">
        <v>6</v>
      </c>
      <c r="D1" s="14" t="s">
        <v>20</v>
      </c>
      <c r="E1" t="s">
        <v>18</v>
      </c>
      <c r="F1" t="s">
        <v>10</v>
      </c>
      <c r="G1" s="14" t="s">
        <v>11</v>
      </c>
      <c r="H1" t="s">
        <v>21</v>
      </c>
      <c r="I1" s="14" t="s">
        <v>22</v>
      </c>
      <c r="J1" s="14" t="s">
        <v>23</v>
      </c>
      <c r="K1" s="14" t="s">
        <v>24</v>
      </c>
      <c r="L1" t="s">
        <v>25</v>
      </c>
      <c r="M1" t="s">
        <v>26</v>
      </c>
    </row>
    <row r="2" spans="1:13" x14ac:dyDescent="0.45">
      <c r="A2" t="s">
        <v>1</v>
      </c>
      <c r="B2" s="9"/>
      <c r="C2" s="16"/>
      <c r="D2" s="15"/>
      <c r="E2" s="2"/>
      <c r="F2" s="3"/>
      <c r="G2" s="15"/>
      <c r="H2" s="13"/>
      <c r="I2" s="15"/>
      <c r="J2" s="15"/>
      <c r="K2" s="15"/>
      <c r="L2" s="12"/>
      <c r="M2" s="12"/>
    </row>
    <row r="3" spans="1:13" x14ac:dyDescent="0.45">
      <c r="A3" t="s">
        <v>9</v>
      </c>
      <c r="B3" s="9"/>
      <c r="C3" s="16"/>
      <c r="D3" s="15"/>
      <c r="E3" s="2"/>
      <c r="F3" s="3"/>
      <c r="G3" s="15"/>
      <c r="H3" s="13"/>
      <c r="I3" s="15"/>
      <c r="J3" s="15"/>
      <c r="K3" s="15"/>
      <c r="L3" s="12"/>
      <c r="M3" s="12"/>
    </row>
    <row r="4" spans="1:13" x14ac:dyDescent="0.45">
      <c r="A4" t="s">
        <v>2</v>
      </c>
      <c r="B4" s="9"/>
      <c r="C4" s="16"/>
      <c r="D4" s="15"/>
      <c r="E4" s="2"/>
      <c r="F4" s="3"/>
      <c r="G4" s="15"/>
      <c r="H4" s="13"/>
      <c r="I4" s="15"/>
      <c r="J4" s="15"/>
      <c r="K4" s="15"/>
      <c r="L4" s="12"/>
      <c r="M4" s="12"/>
    </row>
    <row r="5" spans="1:13" x14ac:dyDescent="0.45">
      <c r="A5" t="s">
        <v>3</v>
      </c>
      <c r="B5" s="9"/>
      <c r="C5" s="16"/>
      <c r="D5" s="15"/>
      <c r="E5" s="2"/>
      <c r="F5" s="3"/>
      <c r="G5" s="15"/>
      <c r="H5" s="7"/>
      <c r="I5" s="15"/>
      <c r="J5" s="15"/>
      <c r="K5" s="15"/>
      <c r="L5" s="12"/>
      <c r="M5" s="12"/>
    </row>
    <row r="6" spans="1:13" x14ac:dyDescent="0.45">
      <c r="A6" t="s">
        <v>4</v>
      </c>
      <c r="B6" s="9">
        <f>표1[[#This Row],[Value (Cap min)]]</f>
        <v>240000000</v>
      </c>
      <c r="C6" s="16">
        <v>0.13</v>
      </c>
      <c r="D6" s="15">
        <f>표2_56457910[[#This Row],[Value (Cap min)]]*표2_56457910[[#This Row],[Equity %]]</f>
        <v>31200000</v>
      </c>
      <c r="E6" s="2">
        <f>표2[[#This Row],[Token FDV]]</f>
        <v>2000000000</v>
      </c>
      <c r="F6" s="17">
        <v>1.4999999999999999E-2</v>
      </c>
      <c r="G6" s="15">
        <f>E6*F6</f>
        <v>30000000</v>
      </c>
      <c r="H6" s="13">
        <v>1.5</v>
      </c>
      <c r="I6" s="15">
        <f>D6*H6</f>
        <v>46800000</v>
      </c>
      <c r="J6" s="15">
        <f>표2_56457910[[#This Row],[Option Value]]+표2_56457910[[#This Row],[Token Value]]</f>
        <v>76800000</v>
      </c>
      <c r="K6" s="15">
        <f>표2_56457910[[#This Row],[Equity Value]]+표2_56457910[[#This Row],[Token Value]]</f>
        <v>61200000</v>
      </c>
      <c r="L6" s="12">
        <f>표2_56457910[[#This Row],[ROI (Abs, Opt)]]/D6</f>
        <v>2.4615384615384617</v>
      </c>
      <c r="M6" s="12">
        <f>표2_56457910[[#This Row],[ROI (Abs, NoOpt)]]/D6</f>
        <v>1.9615384615384615</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889A-6388-4302-8A7C-97E408476E1A}">
  <dimension ref="A1:J18"/>
  <sheetViews>
    <sheetView workbookViewId="0">
      <selection activeCell="D15" sqref="D15:F22"/>
    </sheetView>
  </sheetViews>
  <sheetFormatPr defaultRowHeight="17" x14ac:dyDescent="0.45"/>
  <cols>
    <col min="1" max="1" width="9.08203125" bestFit="1" customWidth="1"/>
    <col min="2" max="2" width="12.9140625" bestFit="1" customWidth="1"/>
    <col min="3" max="3" width="17.9140625" bestFit="1" customWidth="1"/>
    <col min="4" max="4" width="18.33203125" bestFit="1" customWidth="1"/>
    <col min="5" max="5" width="17.08203125" bestFit="1" customWidth="1"/>
    <col min="6" max="6" width="16.6640625" bestFit="1" customWidth="1"/>
    <col min="7" max="7" width="17.1640625" bestFit="1" customWidth="1"/>
    <col min="8" max="8" width="12.58203125" bestFit="1" customWidth="1"/>
    <col min="9" max="9" width="13.08203125" bestFit="1" customWidth="1"/>
  </cols>
  <sheetData>
    <row r="1" spans="1:10" x14ac:dyDescent="0.45">
      <c r="A1" t="s">
        <v>0</v>
      </c>
      <c r="B1" t="s">
        <v>5</v>
      </c>
      <c r="C1" t="s">
        <v>13</v>
      </c>
      <c r="D1" t="s">
        <v>14</v>
      </c>
      <c r="E1" t="s">
        <v>17</v>
      </c>
      <c r="F1" t="s">
        <v>16</v>
      </c>
      <c r="G1" t="s">
        <v>7</v>
      </c>
      <c r="H1" t="s">
        <v>8</v>
      </c>
      <c r="I1" t="s">
        <v>19</v>
      </c>
      <c r="J1" t="s">
        <v>55</v>
      </c>
    </row>
    <row r="2" spans="1:10" x14ac:dyDescent="0.45">
      <c r="A2" t="s">
        <v>1</v>
      </c>
      <c r="B2" s="2">
        <v>500000</v>
      </c>
      <c r="C2" s="5">
        <v>5000000</v>
      </c>
      <c r="D2" s="1">
        <v>8000000</v>
      </c>
      <c r="E2" s="4">
        <f>B2/C2</f>
        <v>0.1</v>
      </c>
      <c r="F2" s="4">
        <f>B2/D2</f>
        <v>6.25E-2</v>
      </c>
      <c r="G2" s="7">
        <v>4.5</v>
      </c>
      <c r="H2" s="8">
        <f>G2*B2</f>
        <v>2250000</v>
      </c>
      <c r="I2" s="3">
        <v>0.1</v>
      </c>
      <c r="J2" t="s">
        <v>15</v>
      </c>
    </row>
    <row r="3" spans="1:10" x14ac:dyDescent="0.45">
      <c r="A3" t="s">
        <v>9</v>
      </c>
      <c r="B3" s="1">
        <v>1500000</v>
      </c>
      <c r="C3" s="5">
        <v>15000000</v>
      </c>
      <c r="D3" t="s">
        <v>15</v>
      </c>
      <c r="E3" s="4">
        <v>0.15</v>
      </c>
      <c r="F3" s="4" t="s">
        <v>15</v>
      </c>
      <c r="G3" s="7">
        <v>2.5</v>
      </c>
      <c r="H3" s="8">
        <f>G3*B3</f>
        <v>3750000</v>
      </c>
      <c r="I3" s="3">
        <v>0.1</v>
      </c>
      <c r="J3" s="37">
        <f>1*(1-표1[[#This Row],[Equity % (max)]])*(1-(I2/(1-표1[[#This Row],[Equity % (max)]])))</f>
        <v>0.75</v>
      </c>
    </row>
    <row r="4" spans="1:10" x14ac:dyDescent="0.45">
      <c r="A4" t="s">
        <v>2</v>
      </c>
      <c r="B4" s="1">
        <v>5000000</v>
      </c>
      <c r="C4" s="5">
        <v>40000000</v>
      </c>
      <c r="D4" t="s">
        <v>15</v>
      </c>
      <c r="E4" s="4">
        <f>B4/C4</f>
        <v>0.125</v>
      </c>
      <c r="F4" s="4" t="s">
        <v>15</v>
      </c>
      <c r="G4" s="7">
        <v>2</v>
      </c>
      <c r="H4" s="8">
        <f>G4*B4</f>
        <v>10000000</v>
      </c>
      <c r="I4" s="3">
        <v>0.1</v>
      </c>
      <c r="J4" s="37">
        <v>0.77</v>
      </c>
    </row>
    <row r="5" spans="1:10" x14ac:dyDescent="0.45">
      <c r="A5" t="s">
        <v>3</v>
      </c>
      <c r="B5" s="1">
        <v>10000000</v>
      </c>
      <c r="C5" s="5">
        <v>70000000</v>
      </c>
      <c r="D5" t="s">
        <v>15</v>
      </c>
      <c r="E5" s="4">
        <f>B5/C5</f>
        <v>0.14285714285714285</v>
      </c>
      <c r="F5" s="4" t="s">
        <v>15</v>
      </c>
      <c r="G5" s="7">
        <v>1.75</v>
      </c>
      <c r="H5" s="8">
        <f>G5*B5</f>
        <v>17500000</v>
      </c>
      <c r="I5" s="3">
        <v>0.1</v>
      </c>
      <c r="J5" s="37">
        <v>0.76</v>
      </c>
    </row>
    <row r="6" spans="1:10" x14ac:dyDescent="0.45">
      <c r="A6" t="s">
        <v>4</v>
      </c>
      <c r="B6" s="1">
        <v>30000000</v>
      </c>
      <c r="C6" s="5">
        <v>240000000</v>
      </c>
      <c r="D6" t="s">
        <v>15</v>
      </c>
      <c r="E6" s="4">
        <f>B6/C6</f>
        <v>0.125</v>
      </c>
      <c r="F6" s="4" t="s">
        <v>15</v>
      </c>
      <c r="G6" s="7">
        <v>1.5</v>
      </c>
      <c r="H6" s="8">
        <f>G6*B6</f>
        <v>45000000</v>
      </c>
      <c r="I6" s="3">
        <v>0.1</v>
      </c>
      <c r="J6" s="37">
        <v>0.77</v>
      </c>
    </row>
    <row r="7" spans="1:10" x14ac:dyDescent="0.45">
      <c r="B7" s="1"/>
      <c r="C7" s="5"/>
      <c r="E7" s="4"/>
      <c r="F7" s="4"/>
      <c r="G7" s="6"/>
      <c r="H7" s="8"/>
    </row>
    <row r="18" spans="4:4" x14ac:dyDescent="0.45">
      <c r="D18" s="3"/>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F7D1-38A4-43DA-A16B-5DF5A06C2AC7}">
  <dimension ref="A1:E7"/>
  <sheetViews>
    <sheetView workbookViewId="0">
      <selection activeCell="F15" sqref="F15"/>
    </sheetView>
  </sheetViews>
  <sheetFormatPr defaultRowHeight="17" x14ac:dyDescent="0.45"/>
  <cols>
    <col min="2" max="2" width="16.25" bestFit="1" customWidth="1"/>
    <col min="3" max="3" width="17.83203125" bestFit="1" customWidth="1"/>
    <col min="4" max="4" width="17.33203125" customWidth="1"/>
    <col min="5" max="5" width="14.25" bestFit="1" customWidth="1"/>
  </cols>
  <sheetData>
    <row r="1" spans="1:5" x14ac:dyDescent="0.45">
      <c r="A1" t="s">
        <v>0</v>
      </c>
      <c r="B1" t="s">
        <v>5</v>
      </c>
      <c r="C1" t="s">
        <v>18</v>
      </c>
      <c r="D1" t="s">
        <v>10</v>
      </c>
      <c r="E1" t="s">
        <v>11</v>
      </c>
    </row>
    <row r="2" spans="1:5" x14ac:dyDescent="0.45">
      <c r="A2" t="s">
        <v>1</v>
      </c>
      <c r="B2" s="2">
        <v>500000</v>
      </c>
      <c r="C2" s="2">
        <v>60000000</v>
      </c>
      <c r="D2" s="3">
        <v>0.03</v>
      </c>
      <c r="E2" s="2">
        <f>C2*D2</f>
        <v>1800000</v>
      </c>
    </row>
    <row r="3" spans="1:5" x14ac:dyDescent="0.45">
      <c r="A3" t="s">
        <v>9</v>
      </c>
      <c r="B3" s="2">
        <v>1500000</v>
      </c>
      <c r="C3" s="2">
        <v>180000000</v>
      </c>
      <c r="D3" s="3">
        <v>0.03</v>
      </c>
      <c r="E3" s="2">
        <f>C3*D3</f>
        <v>5400000</v>
      </c>
    </row>
    <row r="4" spans="1:5" x14ac:dyDescent="0.45">
      <c r="A4" t="s">
        <v>2</v>
      </c>
      <c r="B4" s="2">
        <v>5000000</v>
      </c>
      <c r="C4" s="2">
        <v>600000000</v>
      </c>
      <c r="D4" s="3">
        <v>0.03</v>
      </c>
      <c r="E4" s="2">
        <f>C4*D4</f>
        <v>18000000</v>
      </c>
    </row>
    <row r="5" spans="1:5" x14ac:dyDescent="0.45">
      <c r="A5" t="s">
        <v>3</v>
      </c>
      <c r="B5" s="2">
        <v>10000000</v>
      </c>
      <c r="C5" s="2">
        <v>1200000000</v>
      </c>
      <c r="D5" s="3">
        <v>0.03</v>
      </c>
      <c r="E5" s="2">
        <f>C5*D5</f>
        <v>36000000</v>
      </c>
    </row>
    <row r="6" spans="1:5" x14ac:dyDescent="0.45">
      <c r="A6" t="s">
        <v>4</v>
      </c>
      <c r="B6" s="2">
        <v>30000000</v>
      </c>
      <c r="C6" s="2">
        <v>2000000000</v>
      </c>
      <c r="D6" s="3">
        <v>0.03</v>
      </c>
      <c r="E6" s="2">
        <f>C6*D6</f>
        <v>60000000</v>
      </c>
    </row>
    <row r="7" spans="1:5" x14ac:dyDescent="0.45">
      <c r="B7" s="2"/>
      <c r="C7" s="2"/>
      <c r="D7" s="4"/>
      <c r="E7" s="2"/>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69811-3DEF-4585-9975-82B43CDA43A8}">
  <dimension ref="A1:Y21"/>
  <sheetViews>
    <sheetView zoomScale="60" zoomScaleNormal="47" workbookViewId="0">
      <selection activeCell="B2" sqref="B2"/>
    </sheetView>
  </sheetViews>
  <sheetFormatPr defaultRowHeight="17" x14ac:dyDescent="0.45"/>
  <cols>
    <col min="1" max="1" width="9.25" bestFit="1" customWidth="1"/>
    <col min="2" max="2" width="19.75" bestFit="1" customWidth="1"/>
    <col min="3" max="3" width="22.58203125" bestFit="1" customWidth="1"/>
    <col min="4" max="4" width="15" bestFit="1" customWidth="1"/>
    <col min="5" max="5" width="17.9140625" bestFit="1" customWidth="1"/>
    <col min="6" max="6" width="19.33203125" bestFit="1" customWidth="1"/>
    <col min="7" max="7" width="22.1640625" bestFit="1" customWidth="1"/>
    <col min="8" max="8" width="14.58203125" bestFit="1" customWidth="1"/>
    <col min="9" max="9" width="17.4140625" bestFit="1" customWidth="1"/>
    <col min="10" max="10" width="15.58203125" bestFit="1" customWidth="1"/>
    <col min="11" max="11" width="18.4140625" bestFit="1" customWidth="1"/>
    <col min="12" max="12" width="10.83203125" bestFit="1" customWidth="1"/>
    <col min="13" max="13" width="13.6640625" bestFit="1" customWidth="1"/>
    <col min="14" max="14" width="18.9140625" bestFit="1" customWidth="1"/>
    <col min="15" max="15" width="21.6640625" bestFit="1" customWidth="1"/>
    <col min="16" max="16" width="14.08203125" bestFit="1" customWidth="1"/>
    <col min="17" max="17" width="16.83203125" bestFit="1" customWidth="1"/>
    <col min="18" max="18" width="18.6640625" bestFit="1" customWidth="1"/>
    <col min="19" max="19" width="21.5" bestFit="1" customWidth="1"/>
    <col min="20" max="20" width="13.83203125" bestFit="1" customWidth="1"/>
    <col min="21" max="21" width="16.75" bestFit="1" customWidth="1"/>
    <col min="22" max="22" width="18.6640625" bestFit="1" customWidth="1"/>
    <col min="23" max="23" width="21.5" bestFit="1" customWidth="1"/>
    <col min="24" max="24" width="13.83203125" bestFit="1" customWidth="1"/>
    <col min="25" max="25" width="16.75" bestFit="1" customWidth="1"/>
  </cols>
  <sheetData>
    <row r="1" spans="1:25" x14ac:dyDescent="0.45">
      <c r="A1" s="31" t="s">
        <v>27</v>
      </c>
      <c r="B1" s="64" t="s">
        <v>57</v>
      </c>
      <c r="C1" s="65"/>
      <c r="D1" s="65"/>
      <c r="E1" s="66"/>
      <c r="F1" s="67" t="s">
        <v>29</v>
      </c>
      <c r="G1" s="68"/>
      <c r="H1" s="68"/>
      <c r="I1" s="69"/>
      <c r="J1" s="67" t="s">
        <v>9</v>
      </c>
      <c r="K1" s="68"/>
      <c r="L1" s="68"/>
      <c r="M1" s="69"/>
      <c r="N1" s="67" t="s">
        <v>2</v>
      </c>
      <c r="O1" s="68"/>
      <c r="P1" s="68"/>
      <c r="Q1" s="69"/>
      <c r="R1" s="67" t="s">
        <v>3</v>
      </c>
      <c r="S1" s="68"/>
      <c r="T1" s="68"/>
      <c r="U1" s="69"/>
      <c r="V1" s="64" t="s">
        <v>4</v>
      </c>
      <c r="W1" s="65"/>
      <c r="X1" s="65"/>
      <c r="Y1" s="66"/>
    </row>
    <row r="2" spans="1:25" x14ac:dyDescent="0.45">
      <c r="A2" s="30" t="s">
        <v>0</v>
      </c>
      <c r="B2" s="22" t="s">
        <v>30</v>
      </c>
      <c r="C2" s="11" t="s">
        <v>31</v>
      </c>
      <c r="D2" s="11" t="s">
        <v>42</v>
      </c>
      <c r="E2" s="23" t="s">
        <v>43</v>
      </c>
      <c r="F2" s="22" t="s">
        <v>32</v>
      </c>
      <c r="G2" s="11" t="s">
        <v>33</v>
      </c>
      <c r="H2" s="11" t="s">
        <v>44</v>
      </c>
      <c r="I2" s="23" t="s">
        <v>45</v>
      </c>
      <c r="J2" s="22" t="s">
        <v>34</v>
      </c>
      <c r="K2" s="11" t="s">
        <v>35</v>
      </c>
      <c r="L2" s="11" t="s">
        <v>46</v>
      </c>
      <c r="M2" s="23" t="s">
        <v>47</v>
      </c>
      <c r="N2" s="22" t="s">
        <v>36</v>
      </c>
      <c r="O2" s="11" t="s">
        <v>37</v>
      </c>
      <c r="P2" s="11" t="s">
        <v>48</v>
      </c>
      <c r="Q2" s="23" t="s">
        <v>49</v>
      </c>
      <c r="R2" s="22" t="s">
        <v>38</v>
      </c>
      <c r="S2" s="11" t="s">
        <v>39</v>
      </c>
      <c r="T2" s="11" t="s">
        <v>50</v>
      </c>
      <c r="U2" s="23" t="s">
        <v>51</v>
      </c>
      <c r="V2" s="22" t="s">
        <v>40</v>
      </c>
      <c r="W2" s="11" t="s">
        <v>41</v>
      </c>
      <c r="X2" s="11" t="s">
        <v>52</v>
      </c>
      <c r="Y2" s="23" t="s">
        <v>53</v>
      </c>
    </row>
    <row r="3" spans="1:25" x14ac:dyDescent="0.45">
      <c r="A3" s="32" t="s">
        <v>1</v>
      </c>
      <c r="B3" s="24">
        <f>Founders!J2</f>
        <v>17000000</v>
      </c>
      <c r="C3" s="18">
        <f>Founders!K2</f>
        <v>13000000</v>
      </c>
      <c r="D3" s="21" t="s">
        <v>15</v>
      </c>
      <c r="E3" s="28" t="s">
        <v>15</v>
      </c>
      <c r="F3" s="24">
        <f>'Pre-seed Investors'!J2</f>
        <v>4050000</v>
      </c>
      <c r="G3" s="18">
        <f>'Pre-seed Investors'!K2</f>
        <v>2300000</v>
      </c>
      <c r="H3" s="21">
        <f>'Pre-seed Investors'!L2</f>
        <v>8.1</v>
      </c>
      <c r="I3" s="28">
        <f>'Pre-seed Investors'!M2</f>
        <v>4.5999999999999996</v>
      </c>
      <c r="J3" s="24">
        <f>'Seed Investors'!J2</f>
        <v>0</v>
      </c>
      <c r="K3" s="18">
        <f>'Seed Investors'!K2</f>
        <v>0</v>
      </c>
      <c r="L3" s="21">
        <f>'Pre-seed Investors'!P2</f>
        <v>0</v>
      </c>
      <c r="M3" s="28">
        <f>'Pre-seed Investors'!Q2</f>
        <v>0</v>
      </c>
      <c r="N3" s="24">
        <f>'Series-A Investors'!J2</f>
        <v>0</v>
      </c>
      <c r="O3" s="18">
        <f>'Series-A Investors'!K2</f>
        <v>0</v>
      </c>
      <c r="P3" s="21">
        <f>'Series-A Investors'!L2</f>
        <v>0</v>
      </c>
      <c r="Q3" s="28">
        <f>'Series-A Investors'!M2</f>
        <v>0</v>
      </c>
      <c r="R3" s="24">
        <f>'Series-B Investors'!J2</f>
        <v>0</v>
      </c>
      <c r="S3" s="18">
        <f>'Series-B Investors'!K2</f>
        <v>0</v>
      </c>
      <c r="T3" s="21">
        <f>'Series-B Investors'!L2</f>
        <v>0</v>
      </c>
      <c r="U3" s="28">
        <f>'Series-B Investors'!M2</f>
        <v>0</v>
      </c>
      <c r="V3" s="24">
        <f>'Series-C Investors'!J2</f>
        <v>0</v>
      </c>
      <c r="W3" s="18">
        <f>'Series-C Investors'!K2</f>
        <v>0</v>
      </c>
      <c r="X3" s="21">
        <f>'Series-C Investors'!L2</f>
        <v>0</v>
      </c>
      <c r="Y3" s="28">
        <f>'Series-C Investors'!M2</f>
        <v>0</v>
      </c>
    </row>
    <row r="4" spans="1:25" x14ac:dyDescent="0.45">
      <c r="A4" s="33" t="s">
        <v>9</v>
      </c>
      <c r="B4" s="24">
        <f>Founders!J3</f>
        <v>35800000</v>
      </c>
      <c r="C4" s="18">
        <f>Founders!K3</f>
        <v>37800000</v>
      </c>
      <c r="D4" s="21" t="s">
        <v>15</v>
      </c>
      <c r="E4" s="28" t="s">
        <v>15</v>
      </c>
      <c r="F4" s="24">
        <f>'Pre-seed Investors'!J3</f>
        <v>7650000</v>
      </c>
      <c r="G4" s="18">
        <f>'Pre-seed Investors'!K3</f>
        <v>6525000</v>
      </c>
      <c r="H4" s="21">
        <f>'Pre-seed Investors'!L3</f>
        <v>15.3</v>
      </c>
      <c r="I4" s="28">
        <f>'Pre-seed Investors'!M3</f>
        <v>13.05</v>
      </c>
      <c r="J4" s="24">
        <f>'Seed Investors'!J3</f>
        <v>11025000</v>
      </c>
      <c r="K4" s="18">
        <f>'Seed Investors'!K3</f>
        <v>7650000</v>
      </c>
      <c r="L4" s="21">
        <f>'Seed Investors'!L3</f>
        <v>4.9000000000000004</v>
      </c>
      <c r="M4" s="28">
        <f>'Seed Investors'!M3</f>
        <v>3.4</v>
      </c>
      <c r="N4" s="24">
        <f>'Series-A Investors'!J3</f>
        <v>0</v>
      </c>
      <c r="O4" s="18">
        <f>'Series-A Investors'!K3</f>
        <v>0</v>
      </c>
      <c r="P4" s="21">
        <f>'Series-A Investors'!L3</f>
        <v>0</v>
      </c>
      <c r="Q4" s="28">
        <f>'Series-A Investors'!M3</f>
        <v>0</v>
      </c>
      <c r="R4" s="24">
        <f>'Series-B Investors'!J3</f>
        <v>0</v>
      </c>
      <c r="S4" s="18">
        <f>'Series-B Investors'!K3</f>
        <v>0</v>
      </c>
      <c r="T4" s="21">
        <f>'Series-B Investors'!L3</f>
        <v>0</v>
      </c>
      <c r="U4" s="28">
        <f>'Series-B Investors'!M3</f>
        <v>0</v>
      </c>
      <c r="V4" s="24">
        <f>'Series-C Investors'!J3</f>
        <v>0</v>
      </c>
      <c r="W4" s="18">
        <f>'Series-C Investors'!K3</f>
        <v>0</v>
      </c>
      <c r="X4" s="21">
        <f>'Series-C Investors'!L3</f>
        <v>0</v>
      </c>
      <c r="Y4" s="28">
        <f>'Series-C Investors'!M3</f>
        <v>0</v>
      </c>
    </row>
    <row r="5" spans="1:25" x14ac:dyDescent="0.45">
      <c r="A5" s="32" t="s">
        <v>2</v>
      </c>
      <c r="B5" s="24">
        <f>Founders!J4</f>
        <v>109000000</v>
      </c>
      <c r="C5" s="18">
        <f>Founders!K4</f>
        <v>120480000</v>
      </c>
      <c r="D5" s="21" t="s">
        <v>15</v>
      </c>
      <c r="E5" s="28" t="s">
        <v>15</v>
      </c>
      <c r="F5" s="24">
        <f>'Pre-seed Investors'!J4</f>
        <v>20250000</v>
      </c>
      <c r="G5" s="18">
        <f>'Pre-seed Investors'!K4</f>
        <v>20310000</v>
      </c>
      <c r="H5" s="21">
        <f>'Pre-seed Investors'!L4</f>
        <v>40.5</v>
      </c>
      <c r="I5" s="28">
        <f>'Pre-seed Investors'!M4</f>
        <v>40.619999999999997</v>
      </c>
      <c r="J5" s="24">
        <f>'Seed Investors'!J4</f>
        <v>23625000</v>
      </c>
      <c r="K5" s="18">
        <f>'Seed Investors'!K4</f>
        <v>22620000</v>
      </c>
      <c r="L5" s="21">
        <f>'Seed Investors'!L4</f>
        <v>10.5</v>
      </c>
      <c r="M5" s="28">
        <f>'Seed Investors'!M4</f>
        <v>10.053333333333333</v>
      </c>
      <c r="N5" s="24">
        <f>'Series-A Investors'!J4</f>
        <v>22400000</v>
      </c>
      <c r="O5" s="18">
        <f>'Series-A Investors'!K4</f>
        <v>17200000</v>
      </c>
      <c r="P5" s="21">
        <f>'Series-A Investors'!L4</f>
        <v>4.3076923076923075</v>
      </c>
      <c r="Q5" s="28">
        <f>'Series-A Investors'!M4</f>
        <v>3.3076923076923075</v>
      </c>
      <c r="R5" s="24">
        <f>'Series-B Investors'!J4</f>
        <v>0</v>
      </c>
      <c r="S5" s="18">
        <f>'Series-B Investors'!K4</f>
        <v>0</v>
      </c>
      <c r="T5" s="21">
        <f>'Series-B Investors'!L4</f>
        <v>0</v>
      </c>
      <c r="U5" s="28">
        <f>'Series-B Investors'!M4</f>
        <v>0</v>
      </c>
      <c r="V5" s="24">
        <f>'Series-C Investors'!J4</f>
        <v>0</v>
      </c>
      <c r="W5" s="18">
        <f>'Series-C Investors'!K4</f>
        <v>0</v>
      </c>
      <c r="X5" s="21">
        <f>'Series-C Investors'!L4</f>
        <v>0</v>
      </c>
      <c r="Y5" s="28">
        <f>'Series-C Investors'!M4</f>
        <v>0</v>
      </c>
    </row>
    <row r="6" spans="1:25" x14ac:dyDescent="0.45">
      <c r="A6" s="33" t="s">
        <v>3</v>
      </c>
      <c r="B6" s="24">
        <f>Founders!J5</f>
        <v>223000000</v>
      </c>
      <c r="C6" s="18">
        <f>Founders!K5</f>
        <v>240578400</v>
      </c>
      <c r="D6" s="21" t="s">
        <v>15</v>
      </c>
      <c r="E6" s="28" t="s">
        <v>15</v>
      </c>
      <c r="F6" s="24">
        <f>'Pre-seed Investors'!J5</f>
        <v>38250000</v>
      </c>
      <c r="G6" s="18">
        <f>'Pre-seed Investors'!K5</f>
        <v>39072300</v>
      </c>
      <c r="H6" s="21">
        <f>'Pre-seed Investors'!L5</f>
        <v>76.5</v>
      </c>
      <c r="I6" s="28">
        <f>'Pre-seed Investors'!M5</f>
        <v>78.144599999999997</v>
      </c>
      <c r="J6" s="24">
        <f>'Seed Investors'!J5</f>
        <v>41625000</v>
      </c>
      <c r="K6" s="18">
        <f>'Seed Investors'!K5</f>
        <v>42144600</v>
      </c>
      <c r="L6" s="21">
        <f>'Seed Investors'!L5</f>
        <v>18.5</v>
      </c>
      <c r="M6" s="28">
        <f>'Seed Investors'!M5</f>
        <v>18.730933333333333</v>
      </c>
      <c r="N6" s="24">
        <f>'Series-A Investors'!J5</f>
        <v>34400000</v>
      </c>
      <c r="O6" s="18">
        <f>'Series-A Investors'!K5</f>
        <v>30916000</v>
      </c>
      <c r="P6" s="21">
        <f>'Series-A Investors'!L5</f>
        <v>6.615384615384615</v>
      </c>
      <c r="Q6" s="28">
        <f>'Series-A Investors'!M5</f>
        <v>5.945384615384615</v>
      </c>
      <c r="R6" s="24">
        <f>'Series-B Investors'!J5</f>
        <v>38150000.000000007</v>
      </c>
      <c r="S6" s="18">
        <f>'Series-B Investors'!K5</f>
        <v>30800000.000000007</v>
      </c>
      <c r="T6" s="21">
        <f>'Series-B Investors'!L5</f>
        <v>3.8928571428571428</v>
      </c>
      <c r="U6" s="28">
        <f>'Series-B Investors'!M5</f>
        <v>3.1428571428571432</v>
      </c>
      <c r="V6" s="24">
        <f>'Series-C Investors'!J5</f>
        <v>0</v>
      </c>
      <c r="W6" s="18">
        <f>'Series-C Investors'!K5</f>
        <v>0</v>
      </c>
      <c r="X6" s="21">
        <f>'Series-C Investors'!L5</f>
        <v>0</v>
      </c>
      <c r="Y6" s="28">
        <f>'Series-C Investors'!M5</f>
        <v>0</v>
      </c>
    </row>
    <row r="7" spans="1:25" ht="17.5" thickBot="1" x14ac:dyDescent="0.5">
      <c r="A7" s="34" t="s">
        <v>4</v>
      </c>
      <c r="B7" s="25">
        <f>Founders!J6</f>
        <v>407000000</v>
      </c>
      <c r="C7" s="26">
        <f>Founders!K6</f>
        <v>464886976</v>
      </c>
      <c r="D7" s="27" t="s">
        <v>15</v>
      </c>
      <c r="E7" s="29" t="s">
        <v>15</v>
      </c>
      <c r="F7" s="25">
        <f>'Pre-seed Investors'!J6</f>
        <v>62250000</v>
      </c>
      <c r="G7" s="26">
        <f>'Pre-seed Investors'!K6</f>
        <v>68110872</v>
      </c>
      <c r="H7" s="27">
        <f>'Pre-seed Investors'!L6</f>
        <v>124.5</v>
      </c>
      <c r="I7" s="29">
        <f>'Pre-seed Investors'!M6</f>
        <v>136.221744</v>
      </c>
      <c r="J7" s="25">
        <f>'Seed Investors'!J6</f>
        <v>65625000</v>
      </c>
      <c r="K7" s="26">
        <f>'Seed Investors'!K6</f>
        <v>76221744</v>
      </c>
      <c r="L7" s="27">
        <f>'Seed Investors'!L6</f>
        <v>29.166666666666668</v>
      </c>
      <c r="M7" s="29">
        <f>'Seed Investors'!M6</f>
        <v>33.876330666666668</v>
      </c>
      <c r="N7" s="25">
        <f>'Series-A Investors'!J6</f>
        <v>50400000</v>
      </c>
      <c r="O7" s="26">
        <f>'Series-A Investors'!K6</f>
        <v>58258240</v>
      </c>
      <c r="P7" s="27">
        <f>'Series-A Investors'!L6</f>
        <v>9.6923076923076916</v>
      </c>
      <c r="Q7" s="29">
        <f>'Series-A Investors'!M6</f>
        <v>11.203507692307692</v>
      </c>
      <c r="R7" s="25">
        <f>'Series-B Investors'!J6</f>
        <v>52150000</v>
      </c>
      <c r="S7" s="26">
        <f>'Series-B Investors'!K6</f>
        <v>60872000</v>
      </c>
      <c r="T7" s="27">
        <f>'Series-B Investors'!L6</f>
        <v>5.3214285714285703</v>
      </c>
      <c r="U7" s="29">
        <f>'Series-B Investors'!M6</f>
        <v>6.21142857142857</v>
      </c>
      <c r="V7" s="25">
        <f>'Series-C Investors'!J6</f>
        <v>76800000</v>
      </c>
      <c r="W7" s="26">
        <f>'Series-C Investors'!K6</f>
        <v>61200000</v>
      </c>
      <c r="X7" s="27">
        <f>'Series-C Investors'!L6</f>
        <v>2.4615384615384617</v>
      </c>
      <c r="Y7" s="29">
        <f>'Series-C Investors'!M6</f>
        <v>1.9615384615384615</v>
      </c>
    </row>
    <row r="8" spans="1:25" x14ac:dyDescent="0.45">
      <c r="D8" s="19"/>
      <c r="E8" s="19"/>
    </row>
    <row r="9" spans="1:25" x14ac:dyDescent="0.45">
      <c r="D9" s="20"/>
      <c r="E9" s="20"/>
    </row>
    <row r="10" spans="1:25" ht="17.5" thickBot="1" x14ac:dyDescent="0.5">
      <c r="A10" s="35"/>
      <c r="B10" s="35"/>
      <c r="C10" s="35"/>
      <c r="D10" s="35"/>
      <c r="E10" s="35"/>
      <c r="F10" s="35"/>
      <c r="G10" s="35"/>
    </row>
    <row r="11" spans="1:25" x14ac:dyDescent="0.45">
      <c r="A11" s="41" t="s">
        <v>0</v>
      </c>
      <c r="B11" s="47" t="s">
        <v>28</v>
      </c>
      <c r="C11" s="48" t="s">
        <v>29</v>
      </c>
      <c r="D11" s="48" t="s">
        <v>9</v>
      </c>
      <c r="E11" s="48" t="s">
        <v>2</v>
      </c>
      <c r="F11" s="48" t="s">
        <v>3</v>
      </c>
      <c r="G11" s="49" t="s">
        <v>4</v>
      </c>
      <c r="H11" s="56" t="s">
        <v>56</v>
      </c>
      <c r="I11" s="57" t="s">
        <v>54</v>
      </c>
      <c r="J11" s="58" t="s">
        <v>12</v>
      </c>
    </row>
    <row r="12" spans="1:25" x14ac:dyDescent="0.45">
      <c r="A12" s="42" t="s">
        <v>1</v>
      </c>
      <c r="B12" s="50">
        <f>Founders!C2</f>
        <v>0.8</v>
      </c>
      <c r="C12" s="45">
        <f>'Pre-seed Investors'!C2</f>
        <v>0.1</v>
      </c>
      <c r="D12" s="45">
        <f>'Seed Investors'!C2</f>
        <v>0</v>
      </c>
      <c r="E12" s="46">
        <f>'Series-A Investors'!C2</f>
        <v>0</v>
      </c>
      <c r="F12" s="45">
        <f>'Series-B Investors'!C2</f>
        <v>0</v>
      </c>
      <c r="G12" s="51">
        <f>'Series-C Investors'!C2</f>
        <v>0</v>
      </c>
      <c r="H12" s="59">
        <f>SUM(B12:G12)</f>
        <v>0.9</v>
      </c>
      <c r="I12" s="36">
        <v>0.1</v>
      </c>
      <c r="J12" s="60">
        <f>SUM(B12:G12)+I12</f>
        <v>1</v>
      </c>
    </row>
    <row r="13" spans="1:25" x14ac:dyDescent="0.45">
      <c r="A13" s="43" t="s">
        <v>9</v>
      </c>
      <c r="B13" s="50">
        <f>Founders!C3</f>
        <v>0.60000000000000009</v>
      </c>
      <c r="C13" s="45">
        <f>'Pre-seed Investors'!C3</f>
        <v>7.5000000000000011E-2</v>
      </c>
      <c r="D13" s="45">
        <f>'Seed Investors'!C3</f>
        <v>0.15</v>
      </c>
      <c r="E13" s="46">
        <f>'Series-A Investors'!C3</f>
        <v>0</v>
      </c>
      <c r="F13" s="45">
        <f>'Series-B Investors'!C3</f>
        <v>0</v>
      </c>
      <c r="G13" s="51">
        <f>'Series-C Investors'!C3</f>
        <v>0</v>
      </c>
      <c r="H13" s="59">
        <f>SUM(B13:G13)</f>
        <v>0.82500000000000007</v>
      </c>
      <c r="I13" s="36">
        <f>10%+I12*'Factors-Equity'!J3</f>
        <v>0.17500000000000002</v>
      </c>
      <c r="J13" s="60">
        <f>SUM(B13:G13)+I13</f>
        <v>1</v>
      </c>
    </row>
    <row r="14" spans="1:25" x14ac:dyDescent="0.45">
      <c r="A14" s="42" t="s">
        <v>2</v>
      </c>
      <c r="B14" s="50">
        <f>Founders!C4</f>
        <v>0.46200000000000008</v>
      </c>
      <c r="C14" s="45">
        <f>'Pre-seed Investors'!C4</f>
        <v>5.775000000000001E-2</v>
      </c>
      <c r="D14" s="45">
        <f>'Seed Investors'!C4</f>
        <v>0.11549999999999999</v>
      </c>
      <c r="E14" s="46">
        <f>'Series-A Investors'!C4</f>
        <v>0.13</v>
      </c>
      <c r="F14" s="45">
        <f>'Series-B Investors'!C4</f>
        <v>0</v>
      </c>
      <c r="G14" s="51">
        <f>'Series-C Investors'!C4</f>
        <v>0</v>
      </c>
      <c r="H14" s="59">
        <f t="shared" ref="H14:H16" si="0">SUM(B14:G14)</f>
        <v>0.7652500000000001</v>
      </c>
      <c r="I14" s="36">
        <f>10%+I13*'Factors-Equity'!J4</f>
        <v>0.23475000000000001</v>
      </c>
      <c r="J14" s="60">
        <f>SUM(B14:G14)+I14</f>
        <v>1</v>
      </c>
    </row>
    <row r="15" spans="1:25" x14ac:dyDescent="0.45">
      <c r="A15" s="43" t="s">
        <v>3</v>
      </c>
      <c r="B15" s="50">
        <f>Founders!C5</f>
        <v>0.35112000000000004</v>
      </c>
      <c r="C15" s="45">
        <f>'Pre-seed Investors'!C5</f>
        <v>4.3890000000000005E-2</v>
      </c>
      <c r="D15" s="45">
        <f>'Seed Investors'!C5</f>
        <v>8.7779999999999997E-2</v>
      </c>
      <c r="E15" s="46">
        <f>'Series-A Investors'!C5</f>
        <v>9.8799999999999999E-2</v>
      </c>
      <c r="F15" s="45">
        <f>'Series-B Investors'!C5</f>
        <v>0.14000000000000001</v>
      </c>
      <c r="G15" s="51">
        <f>'Series-C Investors'!C5</f>
        <v>0</v>
      </c>
      <c r="H15" s="59">
        <f t="shared" si="0"/>
        <v>0.72159000000000006</v>
      </c>
      <c r="I15" s="36">
        <f>10%+I14*'Factors-Equity'!J5</f>
        <v>0.27841000000000005</v>
      </c>
      <c r="J15" s="60">
        <f t="shared" ref="J15:J16" si="1">SUM(B15:G15)+I15</f>
        <v>1</v>
      </c>
    </row>
    <row r="16" spans="1:25" ht="17.5" thickBot="1" x14ac:dyDescent="0.5">
      <c r="A16" s="44" t="s">
        <v>4</v>
      </c>
      <c r="B16" s="52">
        <f>Founders!C6</f>
        <v>0.27036240000000006</v>
      </c>
      <c r="C16" s="53">
        <f>'Pre-seed Investors'!C6</f>
        <v>3.3795300000000007E-2</v>
      </c>
      <c r="D16" s="53">
        <f>'Seed Investors'!C6</f>
        <v>6.7590600000000001E-2</v>
      </c>
      <c r="E16" s="54">
        <f>'Series-A Investors'!C6</f>
        <v>7.6076000000000005E-2</v>
      </c>
      <c r="F16" s="53">
        <f>'Series-B Investors'!C6</f>
        <v>0.10780000000000001</v>
      </c>
      <c r="G16" s="55">
        <f>'Series-C Investors'!C6</f>
        <v>0.13</v>
      </c>
      <c r="H16" s="61">
        <f t="shared" si="0"/>
        <v>0.68562430000000008</v>
      </c>
      <c r="I16" s="62">
        <f>10%+I15*'Factors-Equity'!J6</f>
        <v>0.31437570000000004</v>
      </c>
      <c r="J16" s="63">
        <f t="shared" si="1"/>
        <v>1</v>
      </c>
    </row>
    <row r="21" spans="7:7" x14ac:dyDescent="0.45">
      <c r="G21" s="39"/>
    </row>
  </sheetData>
  <mergeCells count="6">
    <mergeCell ref="V1:Y1"/>
    <mergeCell ref="B1:E1"/>
    <mergeCell ref="F1:I1"/>
    <mergeCell ref="J1:M1"/>
    <mergeCell ref="N1:Q1"/>
    <mergeCell ref="R1:U1"/>
  </mergeCells>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63500-1143-491E-96ED-F7CB2B14EA0E}">
  <dimension ref="A1:M6"/>
  <sheetViews>
    <sheetView topLeftCell="D1" workbookViewId="0">
      <selection activeCell="L2" sqref="L2:M6"/>
    </sheetView>
  </sheetViews>
  <sheetFormatPr defaultRowHeight="17" x14ac:dyDescent="0.45"/>
  <cols>
    <col min="1" max="1" width="9.08203125" bestFit="1" customWidth="1"/>
    <col min="2" max="2" width="17.9140625" bestFit="1" customWidth="1"/>
    <col min="3" max="3" width="13.33203125" bestFit="1" customWidth="1"/>
    <col min="4" max="4" width="14.5" bestFit="1" customWidth="1"/>
    <col min="5" max="5" width="15.1640625" bestFit="1" customWidth="1"/>
    <col min="6" max="6" width="18.58203125" bestFit="1" customWidth="1"/>
    <col min="7" max="7" width="14.4140625" bestFit="1" customWidth="1"/>
    <col min="8" max="8" width="13.33203125" bestFit="1" customWidth="1"/>
    <col min="9" max="9" width="15.1640625" bestFit="1" customWidth="1"/>
    <col min="10" max="10" width="16.58203125" bestFit="1" customWidth="1"/>
    <col min="11" max="11" width="19.4140625" bestFit="1" customWidth="1"/>
    <col min="12" max="12" width="14.25" bestFit="1" customWidth="1"/>
    <col min="13" max="13" width="17.08203125" bestFit="1" customWidth="1"/>
  </cols>
  <sheetData>
    <row r="1" spans="1:13" x14ac:dyDescent="0.45">
      <c r="A1" t="s">
        <v>0</v>
      </c>
      <c r="B1" t="s">
        <v>13</v>
      </c>
      <c r="C1" t="s">
        <v>6</v>
      </c>
      <c r="D1" t="s">
        <v>20</v>
      </c>
      <c r="E1" t="s">
        <v>18</v>
      </c>
      <c r="F1" t="s">
        <v>10</v>
      </c>
      <c r="G1" t="s">
        <v>11</v>
      </c>
      <c r="H1" t="s">
        <v>21</v>
      </c>
      <c r="I1" t="s">
        <v>22</v>
      </c>
      <c r="J1" t="s">
        <v>23</v>
      </c>
      <c r="K1" t="s">
        <v>24</v>
      </c>
      <c r="L1" t="s">
        <v>25</v>
      </c>
      <c r="M1" t="s">
        <v>26</v>
      </c>
    </row>
    <row r="2" spans="1:13" x14ac:dyDescent="0.45">
      <c r="A2" t="s">
        <v>1</v>
      </c>
      <c r="B2" s="9">
        <f>표1[[#This Row],[Value (Cap min)]]</f>
        <v>5000000</v>
      </c>
      <c r="C2" s="10">
        <v>0.8</v>
      </c>
      <c r="D2" s="2">
        <f>표2_56[[#This Row],[Value (Cap min)]]*표2_56[[#This Row],[Equity %]]</f>
        <v>4000000</v>
      </c>
      <c r="E2" s="2">
        <f>표2[[#This Row],[Token FDV]]</f>
        <v>60000000</v>
      </c>
      <c r="F2" s="3">
        <v>0.15</v>
      </c>
      <c r="G2" s="2">
        <f>E2*F2</f>
        <v>9000000</v>
      </c>
      <c r="H2" s="13">
        <v>2</v>
      </c>
      <c r="I2" s="2">
        <f>표2_56[[#This Row],[Equity Value]]*표2_56[[#This Row],[Option ROI]]</f>
        <v>8000000</v>
      </c>
      <c r="J2" s="2">
        <f>표2_56[[#This Row],[Option Value]]+표2_56[[#This Row],[Token Value]]</f>
        <v>17000000</v>
      </c>
      <c r="K2" s="2">
        <f>표2_56[[#This Row],[Equity Value]]+표2_56[[#This Row],[Token Value]]</f>
        <v>13000000</v>
      </c>
      <c r="L2" s="12" t="s">
        <v>15</v>
      </c>
      <c r="M2" s="12" t="s">
        <v>15</v>
      </c>
    </row>
    <row r="3" spans="1:13" x14ac:dyDescent="0.45">
      <c r="A3" t="s">
        <v>9</v>
      </c>
      <c r="B3" s="9">
        <f>표1[[#This Row],[Value (Cap min)]]</f>
        <v>15000000</v>
      </c>
      <c r="C3" s="10">
        <f>C2*표1[[#This Row],[Dilution]]</f>
        <v>0.60000000000000009</v>
      </c>
      <c r="D3" s="2">
        <f>표2_56[[#This Row],[Value (Cap min)]]*표2_56[[#This Row],[Equity %]]</f>
        <v>9000000.0000000019</v>
      </c>
      <c r="E3" s="2">
        <f>표2[[#This Row],[Token FDV]]</f>
        <v>180000000</v>
      </c>
      <c r="F3" s="3">
        <v>0.16</v>
      </c>
      <c r="G3" s="2">
        <f>E3*F3</f>
        <v>28800000</v>
      </c>
      <c r="H3" s="13">
        <v>2</v>
      </c>
      <c r="I3" s="2">
        <v>7000000</v>
      </c>
      <c r="J3" s="2">
        <f>표2_56[[#This Row],[Option Value]]+표2_56[[#This Row],[Token Value]]</f>
        <v>35800000</v>
      </c>
      <c r="K3" s="2">
        <f>표2_56[[#This Row],[Equity Value]]+표2_56[[#This Row],[Token Value]]</f>
        <v>37800000</v>
      </c>
      <c r="L3" s="12" t="s">
        <v>15</v>
      </c>
      <c r="M3" s="12" t="s">
        <v>15</v>
      </c>
    </row>
    <row r="4" spans="1:13" x14ac:dyDescent="0.45">
      <c r="A4" t="s">
        <v>2</v>
      </c>
      <c r="B4" s="9">
        <f>표1[[#This Row],[Value (Cap min)]]</f>
        <v>40000000</v>
      </c>
      <c r="C4" s="10">
        <f>C3*표1[[#This Row],[Dilution]]</f>
        <v>0.46200000000000008</v>
      </c>
      <c r="D4" s="2">
        <f>표2_56[[#This Row],[Value (Cap min)]]*표2_56[[#This Row],[Equity %]]</f>
        <v>18480000.000000004</v>
      </c>
      <c r="E4" s="2">
        <f>표2[[#This Row],[Token FDV]]</f>
        <v>600000000</v>
      </c>
      <c r="F4" s="3">
        <v>0.17</v>
      </c>
      <c r="G4" s="2">
        <f>E4*F4</f>
        <v>102000000</v>
      </c>
      <c r="H4" s="13">
        <v>2</v>
      </c>
      <c r="I4" s="2">
        <v>7000000</v>
      </c>
      <c r="J4" s="2">
        <f>표2_56[[#This Row],[Option Value]]+표2_56[[#This Row],[Token Value]]</f>
        <v>109000000</v>
      </c>
      <c r="K4" s="2">
        <f>표2_56[[#This Row],[Equity Value]]+표2_56[[#This Row],[Token Value]]</f>
        <v>120480000</v>
      </c>
      <c r="L4" s="12" t="s">
        <v>15</v>
      </c>
      <c r="M4" s="12" t="s">
        <v>15</v>
      </c>
    </row>
    <row r="5" spans="1:13" x14ac:dyDescent="0.45">
      <c r="A5" t="s">
        <v>3</v>
      </c>
      <c r="B5" s="9">
        <f>표1[[#This Row],[Value (Cap min)]]</f>
        <v>70000000</v>
      </c>
      <c r="C5" s="10">
        <f>C4*표1[[#This Row],[Dilution]]</f>
        <v>0.35112000000000004</v>
      </c>
      <c r="D5" s="2">
        <f>표2_56[[#This Row],[Value (Cap min)]]*표2_56[[#This Row],[Equity %]]</f>
        <v>24578400.000000004</v>
      </c>
      <c r="E5" s="2">
        <f>표2[[#This Row],[Token FDV]]</f>
        <v>1200000000</v>
      </c>
      <c r="F5" s="3">
        <v>0.18</v>
      </c>
      <c r="G5" s="2">
        <f>E5*F5</f>
        <v>216000000</v>
      </c>
      <c r="H5" s="13">
        <v>2</v>
      </c>
      <c r="I5" s="2">
        <v>7000000</v>
      </c>
      <c r="J5" s="2">
        <f>표2_56[[#This Row],[Option Value]]+표2_56[[#This Row],[Token Value]]</f>
        <v>223000000</v>
      </c>
      <c r="K5" s="2">
        <f>표2_56[[#This Row],[Equity Value]]+표2_56[[#This Row],[Token Value]]</f>
        <v>240578400</v>
      </c>
      <c r="L5" s="12" t="s">
        <v>15</v>
      </c>
      <c r="M5" s="12" t="s">
        <v>15</v>
      </c>
    </row>
    <row r="6" spans="1:13" x14ac:dyDescent="0.45">
      <c r="A6" t="s">
        <v>4</v>
      </c>
      <c r="B6" s="9">
        <f>표1[[#This Row],[Value (Cap min)]]</f>
        <v>240000000</v>
      </c>
      <c r="C6" s="10">
        <f>C5*표1[[#This Row],[Dilution]]</f>
        <v>0.27036240000000006</v>
      </c>
      <c r="D6" s="2">
        <f>표2_56[[#This Row],[Value (Cap min)]]*표2_56[[#This Row],[Equity %]]</f>
        <v>64886976.000000015</v>
      </c>
      <c r="E6" s="2">
        <f>표2[[#This Row],[Token FDV]]</f>
        <v>2000000000</v>
      </c>
      <c r="F6" s="3">
        <v>0.2</v>
      </c>
      <c r="G6" s="2">
        <f>E6*F6</f>
        <v>400000000</v>
      </c>
      <c r="H6" s="13">
        <v>2</v>
      </c>
      <c r="I6" s="2">
        <v>7000000</v>
      </c>
      <c r="J6" s="2">
        <f>표2_56[[#This Row],[Option Value]]+표2_56[[#This Row],[Token Value]]</f>
        <v>407000000</v>
      </c>
      <c r="K6" s="2">
        <f>표2_56[[#This Row],[Equity Value]]+표2_56[[#This Row],[Token Value]]</f>
        <v>464886976</v>
      </c>
      <c r="L6" s="12" t="s">
        <v>15</v>
      </c>
      <c r="M6" s="12" t="s">
        <v>15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1EE3D-5203-43C7-8EFA-17A6A0A0C185}">
  <dimension ref="A1:M16"/>
  <sheetViews>
    <sheetView workbookViewId="0">
      <selection activeCell="C11" sqref="C11:F21"/>
    </sheetView>
  </sheetViews>
  <sheetFormatPr defaultRowHeight="17" x14ac:dyDescent="0.45"/>
  <cols>
    <col min="1" max="1" width="9.08203125" bestFit="1" customWidth="1"/>
    <col min="2" max="2" width="17.9140625" bestFit="1" customWidth="1"/>
    <col min="3" max="3" width="11.08203125" bestFit="1" customWidth="1"/>
    <col min="4" max="4" width="14.5" bestFit="1" customWidth="1"/>
    <col min="5" max="5" width="20.83203125" bestFit="1" customWidth="1"/>
    <col min="6" max="6" width="18.58203125" bestFit="1" customWidth="1"/>
    <col min="7" max="7" width="14.4140625" bestFit="1" customWidth="1"/>
    <col min="8" max="8" width="13.33203125" bestFit="1" customWidth="1"/>
    <col min="9" max="9" width="15.1640625" bestFit="1" customWidth="1"/>
    <col min="10" max="10" width="16.58203125" bestFit="1" customWidth="1"/>
    <col min="11" max="11" width="19.4140625" bestFit="1" customWidth="1"/>
    <col min="12" max="12" width="14.25" bestFit="1" customWidth="1"/>
    <col min="13" max="13" width="17.08203125" bestFit="1" customWidth="1"/>
  </cols>
  <sheetData>
    <row r="1" spans="1:13" x14ac:dyDescent="0.45">
      <c r="A1" t="s">
        <v>0</v>
      </c>
      <c r="B1" t="s">
        <v>13</v>
      </c>
      <c r="C1" t="s">
        <v>6</v>
      </c>
      <c r="D1" t="s">
        <v>20</v>
      </c>
      <c r="E1" t="s">
        <v>18</v>
      </c>
      <c r="F1" t="s">
        <v>10</v>
      </c>
      <c r="G1" t="s">
        <v>11</v>
      </c>
      <c r="H1" t="s">
        <v>21</v>
      </c>
      <c r="I1" t="s">
        <v>22</v>
      </c>
      <c r="J1" t="s">
        <v>23</v>
      </c>
      <c r="K1" t="s">
        <v>24</v>
      </c>
      <c r="L1" t="s">
        <v>25</v>
      </c>
      <c r="M1" t="s">
        <v>26</v>
      </c>
    </row>
    <row r="2" spans="1:13" x14ac:dyDescent="0.45">
      <c r="A2" t="s">
        <v>1</v>
      </c>
      <c r="B2" s="9">
        <f>표1[[#This Row],[Value (Cap min)]]</f>
        <v>5000000</v>
      </c>
      <c r="C2" s="10">
        <v>0.1</v>
      </c>
      <c r="D2" s="2">
        <f>표2_564[[#This Row],[Value (Cap min)]]*표2_564[[#This Row],[Equity %]]</f>
        <v>500000</v>
      </c>
      <c r="E2" s="2">
        <f>표2[[#This Row],[Token FDV]]</f>
        <v>60000000</v>
      </c>
      <c r="F2" s="3">
        <v>0.03</v>
      </c>
      <c r="G2" s="2">
        <f>E2*F2</f>
        <v>1800000</v>
      </c>
      <c r="H2" s="13">
        <v>4.5</v>
      </c>
      <c r="I2" s="2">
        <f>D2*H2</f>
        <v>2250000</v>
      </c>
      <c r="J2" s="2">
        <f>표2_564[[#This Row],[Option Value]]+표2_564[[#This Row],[Token Value]]</f>
        <v>4050000</v>
      </c>
      <c r="K2" s="2">
        <f>표2_564[[#This Row],[Equity Value]]+표2_564[[#This Row],[Token Value]]</f>
        <v>2300000</v>
      </c>
      <c r="L2" s="12">
        <f>표2_564[[#This Row],[ROI (Abs, Opt)]]/D2</f>
        <v>8.1</v>
      </c>
      <c r="M2" s="12">
        <f>표2_564[[#This Row],[ROI (Abs, NoOpt)]]/D2</f>
        <v>4.5999999999999996</v>
      </c>
    </row>
    <row r="3" spans="1:13" x14ac:dyDescent="0.45">
      <c r="A3" t="s">
        <v>9</v>
      </c>
      <c r="B3" s="9">
        <f>표1[[#This Row],[Value (Cap min)]]</f>
        <v>15000000</v>
      </c>
      <c r="C3" s="10">
        <f>C2*표1[[#This Row],[Dilution]]</f>
        <v>7.5000000000000011E-2</v>
      </c>
      <c r="D3" s="2">
        <f>표2_564[[#This Row],[Value (Cap min)]]*표2_564[[#This Row],[Equity %]]</f>
        <v>1125000.0000000002</v>
      </c>
      <c r="E3" s="2">
        <f>표2[[#This Row],[Token FDV]]</f>
        <v>180000000</v>
      </c>
      <c r="F3" s="3">
        <v>0.03</v>
      </c>
      <c r="G3" s="2">
        <f>E3*F3</f>
        <v>5400000</v>
      </c>
      <c r="H3" s="13">
        <v>4.5</v>
      </c>
      <c r="I3" s="2">
        <f>D2*H2</f>
        <v>2250000</v>
      </c>
      <c r="J3" s="2">
        <f>표2_564[[#This Row],[Option Value]]+표2_564[[#This Row],[Token Value]]</f>
        <v>7650000</v>
      </c>
      <c r="K3" s="2">
        <f>표2_564[[#This Row],[Equity Value]]+표2_564[[#This Row],[Token Value]]</f>
        <v>6525000</v>
      </c>
      <c r="L3" s="12">
        <f>표2_564[[#This Row],[ROI (Abs, Opt)]]/D2</f>
        <v>15.3</v>
      </c>
      <c r="M3" s="12">
        <f>표2_564[[#This Row],[ROI (Abs, NoOpt)]]/D2</f>
        <v>13.05</v>
      </c>
    </row>
    <row r="4" spans="1:13" x14ac:dyDescent="0.45">
      <c r="A4" t="s">
        <v>2</v>
      </c>
      <c r="B4" s="9">
        <f>표1[[#This Row],[Value (Cap min)]]</f>
        <v>40000000</v>
      </c>
      <c r="C4" s="10">
        <f>C3*표1[[#This Row],[Dilution]]</f>
        <v>5.775000000000001E-2</v>
      </c>
      <c r="D4" s="2">
        <f>표2_564[[#This Row],[Value (Cap min)]]*표2_564[[#This Row],[Equity %]]</f>
        <v>2310000.0000000005</v>
      </c>
      <c r="E4" s="2">
        <f>표2[[#This Row],[Token FDV]]</f>
        <v>600000000</v>
      </c>
      <c r="F4" s="3">
        <v>0.03</v>
      </c>
      <c r="G4" s="2">
        <f>E4*F4</f>
        <v>18000000</v>
      </c>
      <c r="H4" s="13">
        <v>4.5</v>
      </c>
      <c r="I4" s="2">
        <f>D2*H2</f>
        <v>2250000</v>
      </c>
      <c r="J4" s="2">
        <f>표2_564[[#This Row],[Option Value]]+표2_564[[#This Row],[Token Value]]</f>
        <v>20250000</v>
      </c>
      <c r="K4" s="2">
        <f>표2_564[[#This Row],[Equity Value]]+표2_564[[#This Row],[Token Value]]</f>
        <v>20310000</v>
      </c>
      <c r="L4" s="12">
        <f>표2_564[[#This Row],[ROI (Abs, Opt)]]/D2</f>
        <v>40.5</v>
      </c>
      <c r="M4" s="12">
        <f>표2_564[[#This Row],[ROI (Abs, NoOpt)]]/D2</f>
        <v>40.619999999999997</v>
      </c>
    </row>
    <row r="5" spans="1:13" x14ac:dyDescent="0.45">
      <c r="A5" t="s">
        <v>3</v>
      </c>
      <c r="B5" s="9">
        <f>표1[[#This Row],[Value (Cap min)]]</f>
        <v>70000000</v>
      </c>
      <c r="C5" s="10">
        <f>C4*표1[[#This Row],[Dilution]]</f>
        <v>4.3890000000000005E-2</v>
      </c>
      <c r="D5" s="2">
        <f>표2_564[[#This Row],[Value (Cap min)]]*표2_564[[#This Row],[Equity %]]</f>
        <v>3072300.0000000005</v>
      </c>
      <c r="E5" s="2">
        <f>표2[[#This Row],[Token FDV]]</f>
        <v>1200000000</v>
      </c>
      <c r="F5" s="3">
        <v>0.03</v>
      </c>
      <c r="G5" s="2">
        <f>E5*F5</f>
        <v>36000000</v>
      </c>
      <c r="H5" s="13">
        <v>4.5</v>
      </c>
      <c r="I5" s="2">
        <f>D2*H2</f>
        <v>2250000</v>
      </c>
      <c r="J5" s="2">
        <f>표2_564[[#This Row],[Option Value]]+표2_564[[#This Row],[Token Value]]</f>
        <v>38250000</v>
      </c>
      <c r="K5" s="2">
        <f>표2_564[[#This Row],[Equity Value]]+표2_564[[#This Row],[Token Value]]</f>
        <v>39072300</v>
      </c>
      <c r="L5" s="12">
        <f>표2_564[[#This Row],[ROI (Abs, Opt)]]/D2</f>
        <v>76.5</v>
      </c>
      <c r="M5" s="12">
        <f>표2_564[[#This Row],[ROI (Abs, NoOpt)]]/D2</f>
        <v>78.144599999999997</v>
      </c>
    </row>
    <row r="6" spans="1:13" x14ac:dyDescent="0.45">
      <c r="A6" t="s">
        <v>4</v>
      </c>
      <c r="B6" s="9">
        <f>표1[[#This Row],[Value (Cap min)]]</f>
        <v>240000000</v>
      </c>
      <c r="C6" s="10">
        <f>C5*표1[[#This Row],[Dilution]]</f>
        <v>3.3795300000000007E-2</v>
      </c>
      <c r="D6" s="2">
        <f>표2_564[[#This Row],[Value (Cap min)]]*표2_564[[#This Row],[Equity %]]</f>
        <v>8110872.0000000019</v>
      </c>
      <c r="E6" s="2">
        <f>표2[[#This Row],[Token FDV]]</f>
        <v>2000000000</v>
      </c>
      <c r="F6" s="3">
        <v>0.03</v>
      </c>
      <c r="G6" s="2">
        <f>E6*F6</f>
        <v>60000000</v>
      </c>
      <c r="H6" s="13">
        <v>4.5</v>
      </c>
      <c r="I6" s="2">
        <f>D2*H2</f>
        <v>2250000</v>
      </c>
      <c r="J6" s="2">
        <f>표2_564[[#This Row],[Option Value]]+표2_564[[#This Row],[Token Value]]</f>
        <v>62250000</v>
      </c>
      <c r="K6" s="2">
        <f>표2_564[[#This Row],[Equity Value]]+표2_564[[#This Row],[Token Value]]</f>
        <v>68110872</v>
      </c>
      <c r="L6" s="12">
        <f>표2_564[[#This Row],[ROI (Abs, Opt)]]/D2</f>
        <v>124.5</v>
      </c>
      <c r="M6" s="12">
        <f>표2_564[[#This Row],[ROI (Abs, NoOpt)]]/D2</f>
        <v>136.221744</v>
      </c>
    </row>
    <row r="7" spans="1:13" x14ac:dyDescent="0.45">
      <c r="B7" s="2"/>
      <c r="C7" s="2"/>
      <c r="D7" s="4"/>
      <c r="E7" s="2"/>
    </row>
    <row r="13" spans="1:13" x14ac:dyDescent="0.45">
      <c r="E13" s="38"/>
    </row>
    <row r="16" spans="1:13" x14ac:dyDescent="0.45">
      <c r="E16" s="40"/>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C12C-5F01-4E96-A35E-33A9B5C792F1}">
  <dimension ref="A1:M6"/>
  <sheetViews>
    <sheetView topLeftCell="D1" workbookViewId="0">
      <selection activeCell="C4" sqref="C4:C6"/>
    </sheetView>
  </sheetViews>
  <sheetFormatPr defaultRowHeight="17" x14ac:dyDescent="0.45"/>
  <cols>
    <col min="1" max="1" width="9.08203125" bestFit="1" customWidth="1"/>
    <col min="2" max="2" width="17.9140625" bestFit="1" customWidth="1"/>
    <col min="3" max="3" width="11.08203125" bestFit="1" customWidth="1"/>
    <col min="4" max="4" width="14.5" bestFit="1" customWidth="1"/>
    <col min="5" max="5" width="15.1640625" bestFit="1" customWidth="1"/>
    <col min="6" max="6" width="18.58203125" bestFit="1" customWidth="1"/>
    <col min="7" max="7" width="14.4140625" bestFit="1" customWidth="1"/>
    <col min="8" max="8" width="13.33203125" bestFit="1" customWidth="1"/>
    <col min="9" max="9" width="15.1640625" bestFit="1" customWidth="1"/>
    <col min="10" max="10" width="16.58203125" bestFit="1" customWidth="1"/>
    <col min="11" max="11" width="19.4140625" bestFit="1" customWidth="1"/>
    <col min="12" max="12" width="14.25" bestFit="1" customWidth="1"/>
    <col min="13" max="13" width="17.08203125" bestFit="1" customWidth="1"/>
  </cols>
  <sheetData>
    <row r="1" spans="1:13" x14ac:dyDescent="0.45">
      <c r="A1" t="s">
        <v>0</v>
      </c>
      <c r="B1" t="s">
        <v>13</v>
      </c>
      <c r="C1" s="14" t="s">
        <v>6</v>
      </c>
      <c r="D1" s="14" t="s">
        <v>20</v>
      </c>
      <c r="E1" t="s">
        <v>18</v>
      </c>
      <c r="F1" t="s">
        <v>10</v>
      </c>
      <c r="G1" s="14" t="s">
        <v>11</v>
      </c>
      <c r="H1" t="s">
        <v>21</v>
      </c>
      <c r="I1" s="14" t="s">
        <v>22</v>
      </c>
      <c r="J1" s="14" t="s">
        <v>23</v>
      </c>
      <c r="K1" s="14" t="s">
        <v>24</v>
      </c>
      <c r="L1" t="s">
        <v>25</v>
      </c>
      <c r="M1" t="s">
        <v>26</v>
      </c>
    </row>
    <row r="2" spans="1:13" x14ac:dyDescent="0.45">
      <c r="A2" t="s">
        <v>1</v>
      </c>
      <c r="B2" s="9"/>
      <c r="C2" s="16"/>
      <c r="D2" s="15"/>
      <c r="E2" s="2"/>
      <c r="F2" s="3"/>
      <c r="G2" s="15"/>
      <c r="H2" s="13"/>
      <c r="I2" s="15"/>
      <c r="J2" s="15"/>
      <c r="K2" s="15"/>
      <c r="L2" s="12"/>
      <c r="M2" s="12"/>
    </row>
    <row r="3" spans="1:13" x14ac:dyDescent="0.45">
      <c r="A3" t="s">
        <v>9</v>
      </c>
      <c r="B3" s="9">
        <f>표1[[#This Row],[Value (Cap min)]]</f>
        <v>15000000</v>
      </c>
      <c r="C3" s="16">
        <v>0.15</v>
      </c>
      <c r="D3" s="15">
        <f>표2_5645[[#This Row],[Value (Cap min)]]*표2_5645[[#This Row],[Equity %]]</f>
        <v>2250000</v>
      </c>
      <c r="E3" s="2">
        <f>표2[[#This Row],[Token FDV]]</f>
        <v>180000000</v>
      </c>
      <c r="F3" s="3">
        <v>0.03</v>
      </c>
      <c r="G3" s="15">
        <f>E3*F3</f>
        <v>5400000</v>
      </c>
      <c r="H3" s="13">
        <v>2.5</v>
      </c>
      <c r="I3" s="15">
        <f>D3*H3</f>
        <v>5625000</v>
      </c>
      <c r="J3" s="15">
        <f>표2_5645[[#This Row],[Option Value]]+표2_5645[[#This Row],[Token Value]]</f>
        <v>11025000</v>
      </c>
      <c r="K3" s="15">
        <f>표2_5645[[#This Row],[Equity Value]]+표2_5645[[#This Row],[Token Value]]</f>
        <v>7650000</v>
      </c>
      <c r="L3" s="12">
        <f>표2_5645[[#This Row],[ROI (Abs, Opt)]]/D3</f>
        <v>4.9000000000000004</v>
      </c>
      <c r="M3" s="12">
        <f>표2_5645[[#This Row],[ROI (Abs, NoOpt)]]/D3</f>
        <v>3.4</v>
      </c>
    </row>
    <row r="4" spans="1:13" x14ac:dyDescent="0.45">
      <c r="A4" t="s">
        <v>2</v>
      </c>
      <c r="B4" s="9">
        <f>표1[[#This Row],[Value (Cap min)]]</f>
        <v>40000000</v>
      </c>
      <c r="C4" s="16">
        <f>C3*'Factors-Equity'!J4</f>
        <v>0.11549999999999999</v>
      </c>
      <c r="D4" s="15">
        <f>표2_5645[[#This Row],[Value (Cap min)]]*표2_5645[[#This Row],[Equity %]]</f>
        <v>4620000</v>
      </c>
      <c r="E4" s="2">
        <f>표2[[#This Row],[Token FDV]]</f>
        <v>600000000</v>
      </c>
      <c r="F4" s="3">
        <v>0.03</v>
      </c>
      <c r="G4" s="15">
        <f>E4*F4</f>
        <v>18000000</v>
      </c>
      <c r="H4" s="13"/>
      <c r="I4" s="15">
        <f>D3*H3</f>
        <v>5625000</v>
      </c>
      <c r="J4" s="15">
        <f>표2_5645[[#This Row],[Option Value]]+표2_5645[[#This Row],[Token Value]]</f>
        <v>23625000</v>
      </c>
      <c r="K4" s="15">
        <f>표2_5645[[#This Row],[Equity Value]]+표2_5645[[#This Row],[Token Value]]</f>
        <v>22620000</v>
      </c>
      <c r="L4" s="12">
        <f>표2_5645[[#This Row],[ROI (Abs, Opt)]]/D3</f>
        <v>10.5</v>
      </c>
      <c r="M4" s="12">
        <f>표2_5645[[#This Row],[ROI (Abs, NoOpt)]]/D3</f>
        <v>10.053333333333333</v>
      </c>
    </row>
    <row r="5" spans="1:13" x14ac:dyDescent="0.45">
      <c r="A5" t="s">
        <v>3</v>
      </c>
      <c r="B5" s="9">
        <f>표1[[#This Row],[Value (Cap min)]]</f>
        <v>70000000</v>
      </c>
      <c r="C5" s="16">
        <f>C4*'Factors-Equity'!J5</f>
        <v>8.7779999999999997E-2</v>
      </c>
      <c r="D5" s="15">
        <f>표2_5645[[#This Row],[Value (Cap min)]]*표2_5645[[#This Row],[Equity %]]</f>
        <v>6144600</v>
      </c>
      <c r="E5" s="2">
        <f>표2[[#This Row],[Token FDV]]</f>
        <v>1200000000</v>
      </c>
      <c r="F5" s="3">
        <v>0.03</v>
      </c>
      <c r="G5" s="15">
        <f>E5*F5</f>
        <v>36000000</v>
      </c>
      <c r="H5" s="13"/>
      <c r="I5" s="15">
        <f>D3*H3</f>
        <v>5625000</v>
      </c>
      <c r="J5" s="15">
        <f>표2_5645[[#This Row],[Option Value]]+표2_5645[[#This Row],[Token Value]]</f>
        <v>41625000</v>
      </c>
      <c r="K5" s="15">
        <f>표2_5645[[#This Row],[Equity Value]]+표2_5645[[#This Row],[Token Value]]</f>
        <v>42144600</v>
      </c>
      <c r="L5" s="12">
        <f>표2_5645[[#This Row],[ROI (Abs, Opt)]]/D3</f>
        <v>18.5</v>
      </c>
      <c r="M5" s="12">
        <f>표2_5645[[#This Row],[ROI (Abs, NoOpt)]]/D3</f>
        <v>18.730933333333333</v>
      </c>
    </row>
    <row r="6" spans="1:13" x14ac:dyDescent="0.45">
      <c r="A6" t="s">
        <v>4</v>
      </c>
      <c r="B6" s="9">
        <f>표1[[#This Row],[Value (Cap min)]]</f>
        <v>240000000</v>
      </c>
      <c r="C6" s="16">
        <f>C5*'Factors-Equity'!J6</f>
        <v>6.7590600000000001E-2</v>
      </c>
      <c r="D6" s="15">
        <f>표2_5645[[#This Row],[Value (Cap min)]]*표2_5645[[#This Row],[Equity %]]</f>
        <v>16221744</v>
      </c>
      <c r="E6" s="2">
        <f>표2[[#This Row],[Token FDV]]</f>
        <v>2000000000</v>
      </c>
      <c r="F6" s="3">
        <v>0.03</v>
      </c>
      <c r="G6" s="15">
        <f>E6*F6</f>
        <v>60000000</v>
      </c>
      <c r="H6" s="13"/>
      <c r="I6" s="15">
        <f>D3*H3</f>
        <v>5625000</v>
      </c>
      <c r="J6" s="15">
        <f>표2_5645[[#This Row],[Option Value]]+표2_5645[[#This Row],[Token Value]]</f>
        <v>65625000</v>
      </c>
      <c r="K6" s="15">
        <f>표2_5645[[#This Row],[Equity Value]]+표2_5645[[#This Row],[Token Value]]</f>
        <v>76221744</v>
      </c>
      <c r="L6" s="12">
        <f>표2_5645[[#This Row],[ROI (Abs, Opt)]]/D3</f>
        <v>29.166666666666668</v>
      </c>
      <c r="M6" s="12">
        <f>표2_5645[[#This Row],[ROI (Abs, NoOpt)]]/D3</f>
        <v>33.876330666666668</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0E090-2BDE-4CB0-8BF9-2F603B7D423C}">
  <dimension ref="A1:M6"/>
  <sheetViews>
    <sheetView workbookViewId="0">
      <selection activeCell="L6" sqref="L6"/>
    </sheetView>
  </sheetViews>
  <sheetFormatPr defaultRowHeight="17" x14ac:dyDescent="0.45"/>
  <cols>
    <col min="1" max="1" width="9.08203125" bestFit="1" customWidth="1"/>
    <col min="2" max="2" width="17.9140625" bestFit="1" customWidth="1"/>
    <col min="3" max="3" width="11.08203125" bestFit="1" customWidth="1"/>
    <col min="4" max="4" width="14.5" bestFit="1" customWidth="1"/>
    <col min="5" max="5" width="15.1640625" bestFit="1" customWidth="1"/>
    <col min="6" max="6" width="18.58203125" bestFit="1" customWidth="1"/>
    <col min="7" max="7" width="14.9140625" bestFit="1" customWidth="1"/>
    <col min="8" max="8" width="13.33203125" bestFit="1" customWidth="1"/>
    <col min="9" max="9" width="15.1640625" bestFit="1" customWidth="1"/>
    <col min="10" max="10" width="16.58203125" bestFit="1" customWidth="1"/>
    <col min="11" max="11" width="19.4140625" bestFit="1" customWidth="1"/>
    <col min="12" max="12" width="14.25" bestFit="1" customWidth="1"/>
    <col min="13" max="13" width="17.08203125" bestFit="1" customWidth="1"/>
  </cols>
  <sheetData>
    <row r="1" spans="1:13" x14ac:dyDescent="0.45">
      <c r="A1" t="s">
        <v>0</v>
      </c>
      <c r="B1" t="s">
        <v>13</v>
      </c>
      <c r="C1" s="14" t="s">
        <v>6</v>
      </c>
      <c r="D1" s="14" t="s">
        <v>20</v>
      </c>
      <c r="E1" t="s">
        <v>18</v>
      </c>
      <c r="F1" t="s">
        <v>10</v>
      </c>
      <c r="G1" s="14" t="s">
        <v>11</v>
      </c>
      <c r="H1" t="s">
        <v>21</v>
      </c>
      <c r="I1" s="14" t="s">
        <v>22</v>
      </c>
      <c r="J1" s="14" t="s">
        <v>23</v>
      </c>
      <c r="K1" s="14" t="s">
        <v>24</v>
      </c>
      <c r="L1" t="s">
        <v>25</v>
      </c>
      <c r="M1" t="s">
        <v>26</v>
      </c>
    </row>
    <row r="2" spans="1:13" x14ac:dyDescent="0.45">
      <c r="A2" t="s">
        <v>1</v>
      </c>
      <c r="B2" s="9"/>
      <c r="C2" s="16"/>
      <c r="D2" s="15"/>
      <c r="E2" s="2"/>
      <c r="F2" s="3"/>
      <c r="G2" s="15"/>
      <c r="H2" s="13"/>
      <c r="I2" s="15"/>
      <c r="J2" s="15"/>
      <c r="K2" s="15"/>
      <c r="L2" s="12"/>
      <c r="M2" s="12"/>
    </row>
    <row r="3" spans="1:13" x14ac:dyDescent="0.45">
      <c r="A3" t="s">
        <v>9</v>
      </c>
      <c r="B3" s="9"/>
      <c r="C3" s="16"/>
      <c r="D3" s="15"/>
      <c r="E3" s="2"/>
      <c r="F3" s="3"/>
      <c r="G3" s="15"/>
      <c r="H3" s="13"/>
      <c r="I3" s="15"/>
      <c r="J3" s="15"/>
      <c r="K3" s="15"/>
      <c r="L3" s="12"/>
      <c r="M3" s="12"/>
    </row>
    <row r="4" spans="1:13" x14ac:dyDescent="0.45">
      <c r="A4" t="s">
        <v>2</v>
      </c>
      <c r="B4" s="9">
        <f>표1[[#This Row],[Value (Cap min)]]</f>
        <v>40000000</v>
      </c>
      <c r="C4" s="16">
        <v>0.13</v>
      </c>
      <c r="D4" s="15">
        <f>표2_56457[[#This Row],[Value (Cap min)]]*표2_56457[[#This Row],[Equity %]]</f>
        <v>5200000</v>
      </c>
      <c r="E4" s="2">
        <f>표2[[#This Row],[Token FDV]]</f>
        <v>600000000</v>
      </c>
      <c r="F4" s="3">
        <v>0.02</v>
      </c>
      <c r="G4" s="15">
        <f>E4*F4</f>
        <v>12000000</v>
      </c>
      <c r="H4" s="13">
        <v>2</v>
      </c>
      <c r="I4" s="15">
        <f>D4*H4</f>
        <v>10400000</v>
      </c>
      <c r="J4" s="15">
        <f>표2_56457[[#This Row],[Option Value]]+표2_56457[[#This Row],[Token Value]]</f>
        <v>22400000</v>
      </c>
      <c r="K4" s="15">
        <f>표2_56457[[#This Row],[Equity Value]]+표2_56457[[#This Row],[Token Value]]</f>
        <v>17200000</v>
      </c>
      <c r="L4" s="12">
        <f>표2_56457[[#This Row],[ROI (Abs, Opt)]]/D4</f>
        <v>4.3076923076923075</v>
      </c>
      <c r="M4" s="12">
        <f>표2_56457[[#This Row],[ROI (Abs, NoOpt)]]/D4</f>
        <v>3.3076923076923075</v>
      </c>
    </row>
    <row r="5" spans="1:13" x14ac:dyDescent="0.45">
      <c r="A5" t="s">
        <v>3</v>
      </c>
      <c r="B5" s="9">
        <f>표1[[#This Row],[Value (Cap min)]]</f>
        <v>70000000</v>
      </c>
      <c r="C5" s="16">
        <f>C4*표1[[#This Row],[Dilution]]</f>
        <v>9.8799999999999999E-2</v>
      </c>
      <c r="D5" s="15">
        <f>표2_56457[[#This Row],[Value (Cap min)]]*표2_56457[[#This Row],[Equity %]]</f>
        <v>6916000</v>
      </c>
      <c r="E5" s="2">
        <f>표2[[#This Row],[Token FDV]]</f>
        <v>1200000000</v>
      </c>
      <c r="F5" s="3">
        <v>0.02</v>
      </c>
      <c r="G5" s="15">
        <f>E5*F5</f>
        <v>24000000</v>
      </c>
      <c r="H5" s="13"/>
      <c r="I5" s="15">
        <f>D4*H4</f>
        <v>10400000</v>
      </c>
      <c r="J5" s="15">
        <f>표2_56457[[#This Row],[Option Value]]+표2_56457[[#This Row],[Token Value]]</f>
        <v>34400000</v>
      </c>
      <c r="K5" s="15">
        <f>표2_56457[[#This Row],[Equity Value]]+표2_56457[[#This Row],[Token Value]]</f>
        <v>30916000</v>
      </c>
      <c r="L5" s="12">
        <f>표2_56457[[#This Row],[ROI (Abs, Opt)]]/D4</f>
        <v>6.615384615384615</v>
      </c>
      <c r="M5" s="12">
        <f>표2_56457[[#This Row],[ROI (Abs, NoOpt)]]/D4</f>
        <v>5.945384615384615</v>
      </c>
    </row>
    <row r="6" spans="1:13" x14ac:dyDescent="0.45">
      <c r="A6" t="s">
        <v>4</v>
      </c>
      <c r="B6" s="9">
        <f>표1[[#This Row],[Value (Cap min)]]</f>
        <v>240000000</v>
      </c>
      <c r="C6" s="16">
        <f>C5*표1[[#This Row],[Dilution]]</f>
        <v>7.6076000000000005E-2</v>
      </c>
      <c r="D6" s="15">
        <f>표2_56457[[#This Row],[Value (Cap min)]]*표2_56457[[#This Row],[Equity %]]</f>
        <v>18258240</v>
      </c>
      <c r="E6" s="2">
        <f>표2[[#This Row],[Token FDV]]</f>
        <v>2000000000</v>
      </c>
      <c r="F6" s="3">
        <v>0.02</v>
      </c>
      <c r="G6" s="15">
        <f>E6*F6</f>
        <v>40000000</v>
      </c>
      <c r="H6" s="13"/>
      <c r="I6" s="15">
        <f>D4*H4</f>
        <v>10400000</v>
      </c>
      <c r="J6" s="15">
        <f>표2_56457[[#This Row],[Option Value]]+표2_56457[[#This Row],[Token Value]]</f>
        <v>50400000</v>
      </c>
      <c r="K6" s="15">
        <f>표2_56457[[#This Row],[Equity Value]]+표2_56457[[#This Row],[Token Value]]</f>
        <v>58258240</v>
      </c>
      <c r="L6" s="12">
        <f>표2_56457[[#This Row],[ROI (Abs, Opt)]]/D4</f>
        <v>9.6923076923076916</v>
      </c>
      <c r="M6" s="12">
        <f>표2_56457[[#This Row],[ROI (Abs, NoOpt)]]/D4</f>
        <v>11.203507692307692</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867FE-BC7B-4F89-BE51-36E027849491}">
  <dimension ref="A1:M6"/>
  <sheetViews>
    <sheetView workbookViewId="0">
      <selection activeCell="C7" sqref="C7"/>
    </sheetView>
  </sheetViews>
  <sheetFormatPr defaultRowHeight="17" x14ac:dyDescent="0.45"/>
  <cols>
    <col min="1" max="1" width="9.08203125" bestFit="1" customWidth="1"/>
    <col min="2" max="2" width="17.9140625" bestFit="1" customWidth="1"/>
    <col min="3" max="3" width="11.08203125" bestFit="1" customWidth="1"/>
    <col min="4" max="4" width="14.5" bestFit="1" customWidth="1"/>
    <col min="5" max="5" width="15.1640625" bestFit="1" customWidth="1"/>
    <col min="6" max="6" width="18.58203125" bestFit="1" customWidth="1"/>
    <col min="7" max="7" width="14.9140625" bestFit="1" customWidth="1"/>
    <col min="8" max="8" width="13.33203125" bestFit="1" customWidth="1"/>
    <col min="9" max="9" width="15.1640625" bestFit="1" customWidth="1"/>
    <col min="10" max="10" width="16.58203125" bestFit="1" customWidth="1"/>
    <col min="11" max="11" width="19.4140625" bestFit="1" customWidth="1"/>
    <col min="12" max="12" width="14.25" bestFit="1" customWidth="1"/>
    <col min="13" max="13" width="17.08203125" bestFit="1" customWidth="1"/>
  </cols>
  <sheetData>
    <row r="1" spans="1:13" x14ac:dyDescent="0.45">
      <c r="A1" t="s">
        <v>0</v>
      </c>
      <c r="B1" t="s">
        <v>13</v>
      </c>
      <c r="C1" s="14" t="s">
        <v>6</v>
      </c>
      <c r="D1" s="14" t="s">
        <v>20</v>
      </c>
      <c r="E1" t="s">
        <v>18</v>
      </c>
      <c r="F1" t="s">
        <v>10</v>
      </c>
      <c r="G1" s="14" t="s">
        <v>11</v>
      </c>
      <c r="H1" t="s">
        <v>21</v>
      </c>
      <c r="I1" s="14" t="s">
        <v>22</v>
      </c>
      <c r="J1" s="14" t="s">
        <v>23</v>
      </c>
      <c r="K1" s="14" t="s">
        <v>24</v>
      </c>
      <c r="L1" t="s">
        <v>25</v>
      </c>
      <c r="M1" t="s">
        <v>26</v>
      </c>
    </row>
    <row r="2" spans="1:13" x14ac:dyDescent="0.45">
      <c r="A2" t="s">
        <v>1</v>
      </c>
      <c r="B2" s="9"/>
      <c r="C2" s="16"/>
      <c r="D2" s="15"/>
      <c r="E2" s="2"/>
      <c r="F2" s="3"/>
      <c r="G2" s="15"/>
      <c r="H2" s="13"/>
      <c r="I2" s="15"/>
      <c r="J2" s="15"/>
      <c r="K2" s="15"/>
      <c r="L2" s="12"/>
      <c r="M2" s="12"/>
    </row>
    <row r="3" spans="1:13" x14ac:dyDescent="0.45">
      <c r="A3" t="s">
        <v>9</v>
      </c>
      <c r="B3" s="9"/>
      <c r="C3" s="16"/>
      <c r="D3" s="15"/>
      <c r="E3" s="2"/>
      <c r="F3" s="3"/>
      <c r="G3" s="15"/>
      <c r="H3" s="13"/>
      <c r="I3" s="15"/>
      <c r="J3" s="15"/>
      <c r="K3" s="15"/>
      <c r="L3" s="12"/>
      <c r="M3" s="12"/>
    </row>
    <row r="4" spans="1:13" x14ac:dyDescent="0.45">
      <c r="A4" t="s">
        <v>2</v>
      </c>
      <c r="B4" s="9"/>
      <c r="C4" s="16"/>
      <c r="D4" s="15"/>
      <c r="E4" s="2"/>
      <c r="F4" s="3"/>
      <c r="G4" s="15"/>
      <c r="H4" s="13"/>
      <c r="I4" s="15"/>
      <c r="J4" s="15"/>
      <c r="K4" s="15"/>
      <c r="L4" s="12"/>
      <c r="M4" s="12"/>
    </row>
    <row r="5" spans="1:13" x14ac:dyDescent="0.45">
      <c r="A5" t="s">
        <v>3</v>
      </c>
      <c r="B5" s="9">
        <f>표1[[#This Row],[Value (Cap min)]]</f>
        <v>70000000</v>
      </c>
      <c r="C5" s="16">
        <v>0.14000000000000001</v>
      </c>
      <c r="D5" s="15">
        <f>표2_564579[[#This Row],[Value (Cap min)]]*표2_564579[[#This Row],[Equity %]]</f>
        <v>9800000.0000000019</v>
      </c>
      <c r="E5" s="2">
        <f>표2[[#This Row],[Token FDV]]</f>
        <v>1200000000</v>
      </c>
      <c r="F5" s="17">
        <v>1.7500000000000002E-2</v>
      </c>
      <c r="G5" s="15">
        <f>E5*F5</f>
        <v>21000000.000000004</v>
      </c>
      <c r="H5" s="7">
        <v>1.75</v>
      </c>
      <c r="I5" s="15">
        <f>D5*H5</f>
        <v>17150000.000000004</v>
      </c>
      <c r="J5" s="15">
        <f>표2_564579[[#This Row],[Option Value]]+표2_564579[[#This Row],[Token Value]]</f>
        <v>38150000.000000007</v>
      </c>
      <c r="K5" s="15">
        <f>표2_564579[[#This Row],[Equity Value]]+표2_564579[[#This Row],[Token Value]]</f>
        <v>30800000.000000007</v>
      </c>
      <c r="L5" s="12">
        <f>표2_564579[[#This Row],[ROI (Abs, Opt)]]/D5</f>
        <v>3.8928571428571428</v>
      </c>
      <c r="M5" s="12">
        <f>표2_564579[[#This Row],[ROI (Abs, NoOpt)]]/D5</f>
        <v>3.1428571428571432</v>
      </c>
    </row>
    <row r="6" spans="1:13" x14ac:dyDescent="0.45">
      <c r="A6" t="s">
        <v>4</v>
      </c>
      <c r="B6" s="9">
        <f>표1[[#This Row],[Value (Cap min)]]</f>
        <v>240000000</v>
      </c>
      <c r="C6" s="16">
        <f>C5*표1[[#This Row],[Dilution]]</f>
        <v>0.10780000000000001</v>
      </c>
      <c r="D6" s="15">
        <f>표2_564579[[#This Row],[Value (Cap min)]]*표2_564579[[#This Row],[Equity %]]</f>
        <v>25872000</v>
      </c>
      <c r="E6" s="2">
        <f>표2[[#This Row],[Token FDV]]</f>
        <v>2000000000</v>
      </c>
      <c r="F6" s="17">
        <v>1.7500000000000002E-2</v>
      </c>
      <c r="G6" s="15">
        <f>E6*F6</f>
        <v>35000000</v>
      </c>
      <c r="H6" s="13"/>
      <c r="I6" s="15">
        <f>D5*H5</f>
        <v>17150000.000000004</v>
      </c>
      <c r="J6" s="15">
        <f>표2_564579[[#This Row],[Option Value]]+표2_564579[[#This Row],[Token Value]]</f>
        <v>52150000</v>
      </c>
      <c r="K6" s="15">
        <f>표2_564579[[#This Row],[Equity Value]]+표2_564579[[#This Row],[Token Value]]</f>
        <v>60872000</v>
      </c>
      <c r="L6" s="12">
        <f>표2_564579[[#This Row],[ROI (Abs, Opt)]]/D5</f>
        <v>5.3214285714285703</v>
      </c>
      <c r="M6" s="12">
        <f>표2_564579[[#This Row],[ROI (Abs, NoOpt)]]/D5</f>
        <v>6.21142857142857</v>
      </c>
    </row>
  </sheetData>
  <phoneticPr fontId="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Disclaimer</vt:lpstr>
      <vt:lpstr>Factors-Equity</vt:lpstr>
      <vt:lpstr>Factors-Token</vt:lpstr>
      <vt:lpstr>Summarize</vt:lpstr>
      <vt:lpstr>Founders</vt:lpstr>
      <vt:lpstr>Pre-seed Investors</vt:lpstr>
      <vt:lpstr>Seed Investors</vt:lpstr>
      <vt:lpstr>Series-A Investors</vt:lpstr>
      <vt:lpstr>Series-B Investors</vt:lpstr>
      <vt:lpstr>Series-C Investors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현수 최</dc:creator>
  <cp:lastModifiedBy>현수 최</cp:lastModifiedBy>
  <dcterms:created xsi:type="dcterms:W3CDTF">2025-10-20T16:05:46Z</dcterms:created>
  <dcterms:modified xsi:type="dcterms:W3CDTF">2025-10-22T16:50:54Z</dcterms:modified>
</cp:coreProperties>
</file>