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mt\OneDrive\Documents\T-FLEX\tflex_test_bench\doc\"/>
    </mc:Choice>
  </mc:AlternateContent>
  <xr:revisionPtr revIDLastSave="0" documentId="13_ncr:1_{6501DBF4-C1BC-4B68-8295-08C8C0FCA7B0}" xr6:coauthVersionLast="45" xr6:coauthVersionMax="45" xr10:uidLastSave="{00000000-0000-0000-0000-000000000000}"/>
  <bookViews>
    <workbookView xWindow="-108" yWindow="-108" windowWidth="23256" windowHeight="12576" activeTab="4" xr2:uid="{7F1469F0-D5AC-4C43-A2DF-3AB5452DFC61}"/>
  </bookViews>
  <sheets>
    <sheet name="Datos" sheetId="2" r:id="rId1"/>
    <sheet name="Analisis entre pretensiones" sheetId="1" r:id="rId2"/>
    <sheet name="Analisis entre configuraciones" sheetId="4" r:id="rId3"/>
    <sheet name="Tendon" sheetId="5" r:id="rId4"/>
    <sheet name="Motor" sheetId="6" r:id="rId5"/>
    <sheet name="Sheet3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5" l="1"/>
  <c r="G11" i="5"/>
  <c r="H11" i="5"/>
  <c r="I11" i="5"/>
  <c r="J11" i="5"/>
  <c r="F12" i="5"/>
  <c r="G12" i="5"/>
  <c r="H12" i="5"/>
  <c r="I12" i="5"/>
  <c r="J12" i="5"/>
  <c r="F13" i="5"/>
  <c r="G13" i="5"/>
  <c r="H13" i="5"/>
  <c r="I13" i="5"/>
  <c r="J13" i="5"/>
  <c r="E12" i="5"/>
  <c r="E13" i="5"/>
  <c r="E11" i="5"/>
  <c r="J27" i="1"/>
  <c r="L23" i="4"/>
  <c r="N16" i="4"/>
  <c r="P16" i="4"/>
  <c r="O16" i="4"/>
  <c r="M16" i="4"/>
  <c r="L16" i="4"/>
  <c r="K16" i="4"/>
  <c r="P11" i="4"/>
  <c r="O11" i="4"/>
  <c r="N11" i="4"/>
  <c r="M11" i="4"/>
  <c r="L11" i="4"/>
  <c r="K11" i="4"/>
  <c r="P6" i="4"/>
  <c r="O6" i="4"/>
  <c r="N6" i="4"/>
  <c r="M6" i="4"/>
  <c r="L6" i="4"/>
  <c r="K6" i="4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7" i="1"/>
  <c r="P8" i="1"/>
  <c r="P6" i="1"/>
  <c r="O7" i="1"/>
  <c r="O8" i="1"/>
  <c r="O6" i="1"/>
  <c r="N7" i="1"/>
  <c r="N8" i="1"/>
  <c r="N6" i="1"/>
  <c r="L7" i="1"/>
  <c r="L8" i="1"/>
  <c r="L6" i="1"/>
  <c r="M7" i="1"/>
  <c r="M8" i="1"/>
  <c r="M6" i="1"/>
  <c r="K7" i="1"/>
  <c r="K8" i="1"/>
  <c r="K6" i="1"/>
  <c r="P20" i="2"/>
  <c r="O20" i="2"/>
  <c r="N20" i="2"/>
  <c r="M20" i="2"/>
  <c r="L20" i="2"/>
  <c r="K20" i="2"/>
  <c r="P19" i="2"/>
  <c r="O19" i="2"/>
  <c r="N19" i="2"/>
  <c r="M19" i="2"/>
  <c r="L19" i="2"/>
  <c r="K19" i="2"/>
  <c r="P18" i="2"/>
  <c r="O18" i="2"/>
  <c r="N18" i="2"/>
  <c r="M18" i="2"/>
  <c r="L18" i="2"/>
  <c r="K18" i="2"/>
  <c r="P14" i="2"/>
  <c r="O14" i="2"/>
  <c r="N14" i="2"/>
  <c r="M14" i="2"/>
  <c r="L14" i="2"/>
  <c r="K14" i="2"/>
  <c r="P13" i="2"/>
  <c r="O13" i="2"/>
  <c r="N13" i="2"/>
  <c r="M13" i="2"/>
  <c r="L13" i="2"/>
  <c r="K13" i="2"/>
  <c r="P12" i="2"/>
  <c r="O12" i="2"/>
  <c r="N12" i="2"/>
  <c r="M12" i="2"/>
  <c r="L12" i="2"/>
  <c r="K12" i="2"/>
  <c r="P8" i="2"/>
  <c r="O8" i="2"/>
  <c r="N8" i="2"/>
  <c r="M8" i="2"/>
  <c r="L8" i="2"/>
  <c r="K8" i="2"/>
  <c r="P7" i="2"/>
  <c r="O7" i="2"/>
  <c r="N7" i="2"/>
  <c r="M7" i="2"/>
  <c r="L7" i="2"/>
  <c r="K7" i="2"/>
  <c r="P6" i="2"/>
  <c r="O6" i="2"/>
  <c r="N6" i="2"/>
  <c r="M6" i="2"/>
  <c r="L6" i="2"/>
  <c r="K6" i="2"/>
</calcChain>
</file>

<file path=xl/sharedStrings.xml><?xml version="1.0" encoding="utf-8"?>
<sst xmlns="http://schemas.openxmlformats.org/spreadsheetml/2006/main" count="285" uniqueCount="76">
  <si>
    <t>400 ± 22</t>
  </si>
  <si>
    <t>558 ± 24</t>
  </si>
  <si>
    <t>296 ± 10</t>
  </si>
  <si>
    <t>289 ± 6</t>
  </si>
  <si>
    <t>282 ± 8</t>
  </si>
  <si>
    <t>285 ± 13</t>
  </si>
  <si>
    <t>340 ± 47</t>
  </si>
  <si>
    <t>138 ± 7</t>
  </si>
  <si>
    <t>284 ± 11</t>
  </si>
  <si>
    <t>233 ± 6</t>
  </si>
  <si>
    <t>323 ± 7</t>
  </si>
  <si>
    <t>235 ± 3</t>
  </si>
  <si>
    <t>693 ± 24</t>
  </si>
  <si>
    <t>311 ± 10</t>
  </si>
  <si>
    <t>342 ± 26</t>
  </si>
  <si>
    <t>300 ± 14</t>
  </si>
  <si>
    <t>240 ± 7</t>
  </si>
  <si>
    <t>210 ± 7</t>
  </si>
  <si>
    <t>220 ± 5</t>
  </si>
  <si>
    <t>208 ± 6</t>
  </si>
  <si>
    <t>216 ± 3</t>
  </si>
  <si>
    <t>201 ± 18</t>
  </si>
  <si>
    <t>134 ± 4</t>
  </si>
  <si>
    <t>210 ± 3</t>
  </si>
  <si>
    <t>209 ± 7</t>
  </si>
  <si>
    <t>241 ± 7</t>
  </si>
  <si>
    <t>215 ± 3</t>
  </si>
  <si>
    <t>218 ± 7</t>
  </si>
  <si>
    <t>234 ± 7</t>
  </si>
  <si>
    <t>210 ± 5</t>
  </si>
  <si>
    <t>227 ± 5</t>
  </si>
  <si>
    <t>213 ± 5</t>
  </si>
  <si>
    <t>219 ± 5</t>
  </si>
  <si>
    <t>221 ± 4</t>
  </si>
  <si>
    <t>48 ± 2</t>
  </si>
  <si>
    <t>51 ± 5</t>
  </si>
  <si>
    <t>44 ± 2</t>
  </si>
  <si>
    <t>44  ± 6</t>
  </si>
  <si>
    <t>43 ± 2</t>
  </si>
  <si>
    <t>47 ± 1</t>
  </si>
  <si>
    <t>38 ± 2</t>
  </si>
  <si>
    <t>31 ± 2</t>
  </si>
  <si>
    <t>38 ± 4</t>
  </si>
  <si>
    <t>46 ± 2</t>
  </si>
  <si>
    <t>50 ± 5</t>
  </si>
  <si>
    <t>46 ± 3</t>
  </si>
  <si>
    <t>53  ± 3</t>
  </si>
  <si>
    <t>50  ± 5</t>
  </si>
  <si>
    <t>42 ± 3</t>
  </si>
  <si>
    <t>49 ± 6</t>
  </si>
  <si>
    <t>44 ± 5</t>
  </si>
  <si>
    <t>43 ± 3</t>
  </si>
  <si>
    <t>FE</t>
  </si>
  <si>
    <t>S</t>
  </si>
  <si>
    <t>TENDONS</t>
  </si>
  <si>
    <t>STIFF_TENDONS</t>
  </si>
  <si>
    <t>Frontal</t>
  </si>
  <si>
    <t>Posterior</t>
  </si>
  <si>
    <t>Percentage of variability</t>
  </si>
  <si>
    <t>Stabilization (ms)</t>
  </si>
  <si>
    <t>Rise (ms)</t>
  </si>
  <si>
    <t>Delay (ms)</t>
  </si>
  <si>
    <t>Percentage of variation</t>
  </si>
  <si>
    <t>Frontal: 20 - 10</t>
  </si>
  <si>
    <t>Posterior: 20 - 10</t>
  </si>
  <si>
    <t>Frontal: 20 - 5</t>
  </si>
  <si>
    <t>Posterior: 20 - 5</t>
  </si>
  <si>
    <t>Frontal: 10 - 5</t>
  </si>
  <si>
    <t>Maximum value</t>
  </si>
  <si>
    <t>Minimum value</t>
  </si>
  <si>
    <t>804 ± 19</t>
  </si>
  <si>
    <t>Percentage of total delay</t>
  </si>
  <si>
    <t>Max Current (A)</t>
  </si>
  <si>
    <t>Mean Current (A)</t>
  </si>
  <si>
    <t>Max Load (%)</t>
  </si>
  <si>
    <t>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</si>
</sst>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2" borderId="1" xfId="0" applyNumberFormat="1" applyFill="1" applyBorder="1"/>
    <xf numFmtId="2" fontId="0" fillId="0" borderId="1" xfId="0" applyNumberFormat="1" applyFill="1" applyBorder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/>
    <xf numFmtId="2" fontId="0" fillId="0" borderId="11" xfId="0" applyNumberFormat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CBC7-95FB-4204-AACB-B2F8FDC85FE5}">
  <dimension ref="B1:P20"/>
  <sheetViews>
    <sheetView workbookViewId="0">
      <selection activeCell="B3" sqref="B3:I8"/>
    </sheetView>
  </sheetViews>
  <sheetFormatPr defaultRowHeight="14.4" x14ac:dyDescent="0.3"/>
  <cols>
    <col min="2" max="2" width="14.44140625" bestFit="1" customWidth="1"/>
    <col min="11" max="15" width="5.5546875" bestFit="1" customWidth="1"/>
    <col min="16" max="16" width="4.5546875" bestFit="1" customWidth="1"/>
  </cols>
  <sheetData>
    <row r="1" spans="2:16" x14ac:dyDescent="0.3">
      <c r="B1" s="1"/>
    </row>
    <row r="3" spans="2:16" x14ac:dyDescent="0.3">
      <c r="B3" s="17" t="s">
        <v>59</v>
      </c>
      <c r="C3" s="21"/>
      <c r="D3" s="21"/>
      <c r="E3" s="21"/>
      <c r="F3" s="21"/>
      <c r="G3" s="21"/>
      <c r="H3" s="21"/>
      <c r="I3" s="18"/>
      <c r="J3" s="6"/>
      <c r="K3" s="2"/>
      <c r="L3" s="2"/>
      <c r="M3" s="2"/>
      <c r="N3" s="2"/>
      <c r="O3" s="2"/>
      <c r="P3" s="2"/>
    </row>
    <row r="4" spans="2:16" x14ac:dyDescent="0.3">
      <c r="B4" s="3"/>
      <c r="C4" s="5"/>
      <c r="D4" s="17">
        <v>20</v>
      </c>
      <c r="E4" s="18"/>
      <c r="F4" s="17">
        <v>10</v>
      </c>
      <c r="G4" s="18"/>
      <c r="H4" s="17">
        <v>5</v>
      </c>
      <c r="I4" s="18"/>
      <c r="J4" s="6"/>
      <c r="K4" s="2"/>
      <c r="L4" s="2"/>
      <c r="M4" s="2"/>
      <c r="N4" s="2"/>
      <c r="O4" s="2"/>
      <c r="P4" s="2"/>
    </row>
    <row r="5" spans="2:16" x14ac:dyDescent="0.3">
      <c r="B5" s="19"/>
      <c r="C5" s="20"/>
      <c r="D5" s="11" t="s">
        <v>56</v>
      </c>
      <c r="E5" s="11" t="s">
        <v>57</v>
      </c>
      <c r="F5" s="11" t="s">
        <v>56</v>
      </c>
      <c r="G5" s="11" t="s">
        <v>57</v>
      </c>
      <c r="H5" s="11" t="s">
        <v>56</v>
      </c>
      <c r="I5" s="11" t="s">
        <v>57</v>
      </c>
      <c r="J5" s="6"/>
      <c r="K5" s="9" t="s">
        <v>58</v>
      </c>
      <c r="L5" s="9"/>
      <c r="M5" s="9"/>
      <c r="N5" s="9"/>
      <c r="O5" s="9"/>
      <c r="P5" s="9"/>
    </row>
    <row r="6" spans="2:16" x14ac:dyDescent="0.3">
      <c r="B6" s="29" t="s">
        <v>54</v>
      </c>
      <c r="C6" s="15" t="s">
        <v>52</v>
      </c>
      <c r="D6" s="15" t="s">
        <v>0</v>
      </c>
      <c r="E6" s="15" t="s">
        <v>1</v>
      </c>
      <c r="F6" s="15" t="s">
        <v>2</v>
      </c>
      <c r="G6" s="15" t="s">
        <v>3</v>
      </c>
      <c r="H6" s="15" t="s">
        <v>4</v>
      </c>
      <c r="I6" s="15" t="s">
        <v>5</v>
      </c>
      <c r="J6" s="6"/>
      <c r="K6" s="13">
        <f>22*100/400</f>
        <v>5.5</v>
      </c>
      <c r="L6" s="13">
        <f>24*100/558</f>
        <v>4.301075268817204</v>
      </c>
      <c r="M6" s="13">
        <f>10*100/296</f>
        <v>3.3783783783783785</v>
      </c>
      <c r="N6" s="13">
        <f>6*100/289</f>
        <v>2.0761245674740483</v>
      </c>
      <c r="O6" s="13">
        <f>8*100/282</f>
        <v>2.8368794326241136</v>
      </c>
      <c r="P6" s="13">
        <f>13*100/285</f>
        <v>4.5614035087719298</v>
      </c>
    </row>
    <row r="7" spans="2:16" x14ac:dyDescent="0.3">
      <c r="B7" s="30"/>
      <c r="C7" s="15" t="s">
        <v>53</v>
      </c>
      <c r="D7" s="15" t="s">
        <v>6</v>
      </c>
      <c r="E7" s="15" t="s">
        <v>7</v>
      </c>
      <c r="F7" s="15" t="s">
        <v>8</v>
      </c>
      <c r="G7" s="15" t="s">
        <v>9</v>
      </c>
      <c r="H7" s="15" t="s">
        <v>10</v>
      </c>
      <c r="I7" s="15" t="s">
        <v>11</v>
      </c>
      <c r="J7" s="6"/>
      <c r="K7" s="33">
        <f>47*100/340</f>
        <v>13.823529411764707</v>
      </c>
      <c r="L7" s="13">
        <f>7*100/138</f>
        <v>5.0724637681159424</v>
      </c>
      <c r="M7" s="13">
        <f>11*100/284</f>
        <v>3.8732394366197185</v>
      </c>
      <c r="N7" s="13">
        <f>6*100/233</f>
        <v>2.5751072961373391</v>
      </c>
      <c r="O7" s="13">
        <f>7*100/323</f>
        <v>2.1671826625386998</v>
      </c>
      <c r="P7" s="13">
        <f>3*235/100</f>
        <v>7.05</v>
      </c>
    </row>
    <row r="8" spans="2:16" x14ac:dyDescent="0.3">
      <c r="B8" s="15" t="s">
        <v>55</v>
      </c>
      <c r="C8" s="15" t="s">
        <v>52</v>
      </c>
      <c r="D8" s="15" t="s">
        <v>12</v>
      </c>
      <c r="E8" s="15" t="s">
        <v>70</v>
      </c>
      <c r="F8" s="15" t="s">
        <v>13</v>
      </c>
      <c r="G8" s="15" t="s">
        <v>14</v>
      </c>
      <c r="H8" s="15" t="s">
        <v>15</v>
      </c>
      <c r="I8" s="15" t="s">
        <v>3</v>
      </c>
      <c r="J8" s="6"/>
      <c r="K8" s="13">
        <f>24*100/693</f>
        <v>3.4632034632034632</v>
      </c>
      <c r="L8" s="13">
        <f>19*100/804</f>
        <v>2.3631840796019898</v>
      </c>
      <c r="M8" s="13">
        <f>10*100/311</f>
        <v>3.215434083601286</v>
      </c>
      <c r="N8" s="33">
        <f>26*100/342</f>
        <v>7.60233918128655</v>
      </c>
      <c r="O8" s="13">
        <f>14*100/300</f>
        <v>4.666666666666667</v>
      </c>
      <c r="P8" s="13">
        <f>6*100/289</f>
        <v>2.0761245674740483</v>
      </c>
    </row>
    <row r="9" spans="2:16" x14ac:dyDescent="0.3">
      <c r="B9" s="22" t="s">
        <v>60</v>
      </c>
      <c r="C9" s="28"/>
      <c r="D9" s="28"/>
      <c r="E9" s="28"/>
      <c r="F9" s="28"/>
      <c r="G9" s="28"/>
      <c r="H9" s="28"/>
      <c r="I9" s="23"/>
      <c r="J9" s="6"/>
      <c r="K9" s="36"/>
      <c r="L9" s="36"/>
      <c r="M9" s="36"/>
      <c r="N9" s="36"/>
      <c r="O9" s="36"/>
      <c r="P9" s="36"/>
    </row>
    <row r="10" spans="2:16" x14ac:dyDescent="0.3">
      <c r="B10" s="24"/>
      <c r="C10" s="25"/>
      <c r="D10" s="22">
        <v>20</v>
      </c>
      <c r="E10" s="23"/>
      <c r="F10" s="22">
        <v>10</v>
      </c>
      <c r="G10" s="23"/>
      <c r="H10" s="22">
        <v>5</v>
      </c>
      <c r="I10" s="23"/>
      <c r="J10" s="6"/>
      <c r="K10" s="35"/>
      <c r="L10" s="35"/>
      <c r="M10" s="35"/>
      <c r="N10" s="35"/>
      <c r="O10" s="35"/>
      <c r="P10" s="35"/>
    </row>
    <row r="11" spans="2:16" x14ac:dyDescent="0.3">
      <c r="B11" s="26"/>
      <c r="C11" s="27"/>
      <c r="D11" s="15" t="s">
        <v>56</v>
      </c>
      <c r="E11" s="15" t="s">
        <v>57</v>
      </c>
      <c r="F11" s="15" t="s">
        <v>56</v>
      </c>
      <c r="G11" s="15" t="s">
        <v>57</v>
      </c>
      <c r="H11" s="15" t="s">
        <v>56</v>
      </c>
      <c r="I11" s="15" t="s">
        <v>57</v>
      </c>
      <c r="J11" s="6"/>
      <c r="K11" s="9" t="s">
        <v>58</v>
      </c>
      <c r="L11" s="9"/>
      <c r="M11" s="9"/>
      <c r="N11" s="9"/>
      <c r="O11" s="9"/>
      <c r="P11" s="9"/>
    </row>
    <row r="12" spans="2:16" x14ac:dyDescent="0.3">
      <c r="B12" s="29" t="s">
        <v>54</v>
      </c>
      <c r="C12" s="15" t="s">
        <v>52</v>
      </c>
      <c r="D12" s="15" t="s">
        <v>33</v>
      </c>
      <c r="E12" s="15" t="s">
        <v>16</v>
      </c>
      <c r="F12" s="15" t="s">
        <v>17</v>
      </c>
      <c r="G12" s="15" t="s">
        <v>18</v>
      </c>
      <c r="H12" s="15" t="s">
        <v>19</v>
      </c>
      <c r="I12" s="15" t="s">
        <v>20</v>
      </c>
      <c r="J12" s="6"/>
      <c r="K12" s="13">
        <f>4*100/221</f>
        <v>1.8099547511312217</v>
      </c>
      <c r="L12" s="13">
        <f>7*100/240</f>
        <v>2.9166666666666665</v>
      </c>
      <c r="M12" s="13">
        <f>7*100/210</f>
        <v>3.3333333333333335</v>
      </c>
      <c r="N12" s="13">
        <f>5*100/220</f>
        <v>2.2727272727272729</v>
      </c>
      <c r="O12" s="13">
        <f>6*100/208</f>
        <v>2.8846153846153846</v>
      </c>
      <c r="P12" s="13">
        <f>3*100/216</f>
        <v>1.3888888888888888</v>
      </c>
    </row>
    <row r="13" spans="2:16" x14ac:dyDescent="0.3">
      <c r="B13" s="30"/>
      <c r="C13" s="15" t="s">
        <v>53</v>
      </c>
      <c r="D13" s="15" t="s">
        <v>21</v>
      </c>
      <c r="E13" s="15" t="s">
        <v>22</v>
      </c>
      <c r="F13" s="15" t="s">
        <v>23</v>
      </c>
      <c r="G13" s="15" t="s">
        <v>24</v>
      </c>
      <c r="H13" s="15" t="s">
        <v>25</v>
      </c>
      <c r="I13" s="15" t="s">
        <v>26</v>
      </c>
      <c r="J13" s="6"/>
      <c r="K13" s="33">
        <f>18*100/201</f>
        <v>8.9552238805970141</v>
      </c>
      <c r="L13" s="13">
        <f>4*100/134</f>
        <v>2.9850746268656718</v>
      </c>
      <c r="M13" s="13">
        <f>3*100/210</f>
        <v>1.4285714285714286</v>
      </c>
      <c r="N13" s="13">
        <f>7*100/209</f>
        <v>3.3492822966507179</v>
      </c>
      <c r="O13" s="13">
        <f>7*100/241</f>
        <v>2.904564315352697</v>
      </c>
      <c r="P13" s="13">
        <f>3*100/215</f>
        <v>1.3953488372093024</v>
      </c>
    </row>
    <row r="14" spans="2:16" x14ac:dyDescent="0.3">
      <c r="B14" s="11" t="s">
        <v>55</v>
      </c>
      <c r="C14" s="11" t="s">
        <v>52</v>
      </c>
      <c r="D14" s="11" t="s">
        <v>27</v>
      </c>
      <c r="E14" s="11" t="s">
        <v>28</v>
      </c>
      <c r="F14" s="11" t="s">
        <v>29</v>
      </c>
      <c r="G14" s="11" t="s">
        <v>30</v>
      </c>
      <c r="H14" s="11" t="s">
        <v>31</v>
      </c>
      <c r="I14" s="11" t="s">
        <v>32</v>
      </c>
      <c r="J14" s="6"/>
      <c r="K14" s="13">
        <f>7*100/218</f>
        <v>3.2110091743119265</v>
      </c>
      <c r="L14" s="13">
        <f>7*100/234</f>
        <v>2.9914529914529915</v>
      </c>
      <c r="M14" s="13">
        <f>5*100/210</f>
        <v>2.3809523809523809</v>
      </c>
      <c r="N14" s="13">
        <f>5*100/227</f>
        <v>2.2026431718061672</v>
      </c>
      <c r="O14" s="13">
        <f>5*100/213</f>
        <v>2.347417840375587</v>
      </c>
      <c r="P14" s="13">
        <f>5*100/219</f>
        <v>2.2831050228310503</v>
      </c>
    </row>
    <row r="15" spans="2:16" x14ac:dyDescent="0.3">
      <c r="B15" s="17" t="s">
        <v>61</v>
      </c>
      <c r="C15" s="21"/>
      <c r="D15" s="21"/>
      <c r="E15" s="21"/>
      <c r="F15" s="21"/>
      <c r="G15" s="21"/>
      <c r="H15" s="21"/>
      <c r="I15" s="18"/>
      <c r="J15" s="6"/>
      <c r="K15" s="36"/>
      <c r="L15" s="36"/>
      <c r="M15" s="36"/>
      <c r="N15" s="36"/>
      <c r="O15" s="36"/>
      <c r="P15" s="36"/>
    </row>
    <row r="16" spans="2:16" x14ac:dyDescent="0.3">
      <c r="B16" s="3"/>
      <c r="C16" s="5"/>
      <c r="D16" s="17">
        <v>20</v>
      </c>
      <c r="E16" s="18"/>
      <c r="F16" s="17">
        <v>10</v>
      </c>
      <c r="G16" s="18"/>
      <c r="H16" s="17">
        <v>5</v>
      </c>
      <c r="I16" s="18"/>
      <c r="J16" s="6"/>
      <c r="K16" s="35"/>
      <c r="L16" s="35"/>
      <c r="M16" s="35"/>
      <c r="N16" s="35"/>
      <c r="O16" s="35"/>
      <c r="P16" s="35"/>
    </row>
    <row r="17" spans="2:16" x14ac:dyDescent="0.3">
      <c r="B17" s="19"/>
      <c r="C17" s="20"/>
      <c r="D17" s="11" t="s">
        <v>56</v>
      </c>
      <c r="E17" s="11" t="s">
        <v>57</v>
      </c>
      <c r="F17" s="11" t="s">
        <v>56</v>
      </c>
      <c r="G17" s="11" t="s">
        <v>57</v>
      </c>
      <c r="H17" s="11" t="s">
        <v>56</v>
      </c>
      <c r="I17" s="11" t="s">
        <v>57</v>
      </c>
      <c r="J17" s="6"/>
      <c r="K17" s="9" t="s">
        <v>58</v>
      </c>
      <c r="L17" s="9"/>
      <c r="M17" s="9"/>
      <c r="N17" s="9"/>
      <c r="O17" s="9"/>
      <c r="P17" s="9"/>
    </row>
    <row r="18" spans="2:16" x14ac:dyDescent="0.3">
      <c r="B18" s="31" t="s">
        <v>54</v>
      </c>
      <c r="C18" s="11" t="s">
        <v>52</v>
      </c>
      <c r="D18" s="11" t="s">
        <v>34</v>
      </c>
      <c r="E18" s="11" t="s">
        <v>35</v>
      </c>
      <c r="F18" s="11" t="s">
        <v>36</v>
      </c>
      <c r="G18" s="11" t="s">
        <v>37</v>
      </c>
      <c r="H18" s="11" t="s">
        <v>38</v>
      </c>
      <c r="I18" s="11" t="s">
        <v>39</v>
      </c>
      <c r="J18" s="6"/>
      <c r="K18" s="13">
        <f>2*100/48</f>
        <v>4.166666666666667</v>
      </c>
      <c r="L18" s="13">
        <f>5*100/51</f>
        <v>9.8039215686274517</v>
      </c>
      <c r="M18" s="13">
        <f>2*100/44</f>
        <v>4.5454545454545459</v>
      </c>
      <c r="N18" s="33">
        <f>6*100/44</f>
        <v>13.636363636363637</v>
      </c>
      <c r="O18" s="13">
        <f>2*100/43</f>
        <v>4.6511627906976747</v>
      </c>
      <c r="P18" s="13">
        <f>1*100/47</f>
        <v>2.1276595744680851</v>
      </c>
    </row>
    <row r="19" spans="2:16" x14ac:dyDescent="0.3">
      <c r="B19" s="32"/>
      <c r="C19" s="11" t="s">
        <v>53</v>
      </c>
      <c r="D19" s="11" t="s">
        <v>40</v>
      </c>
      <c r="E19" s="11" t="s">
        <v>41</v>
      </c>
      <c r="F19" s="11" t="s">
        <v>42</v>
      </c>
      <c r="G19" s="11" t="s">
        <v>43</v>
      </c>
      <c r="H19" s="11" t="s">
        <v>44</v>
      </c>
      <c r="I19" s="11" t="s">
        <v>45</v>
      </c>
      <c r="J19" s="6"/>
      <c r="K19" s="13">
        <f>2*100/38</f>
        <v>5.2631578947368425</v>
      </c>
      <c r="L19" s="13">
        <f>2*100/31</f>
        <v>6.4516129032258061</v>
      </c>
      <c r="M19" s="33">
        <f>4*100/38</f>
        <v>10.526315789473685</v>
      </c>
      <c r="N19" s="13">
        <f>2*100/46</f>
        <v>4.3478260869565215</v>
      </c>
      <c r="O19" s="34">
        <f>5*100/50</f>
        <v>10</v>
      </c>
      <c r="P19" s="13">
        <f>3*100/46</f>
        <v>6.5217391304347823</v>
      </c>
    </row>
    <row r="20" spans="2:16" x14ac:dyDescent="0.3">
      <c r="B20" s="11" t="s">
        <v>55</v>
      </c>
      <c r="C20" s="11" t="s">
        <v>52</v>
      </c>
      <c r="D20" s="11" t="s">
        <v>46</v>
      </c>
      <c r="E20" s="11" t="s">
        <v>47</v>
      </c>
      <c r="F20" s="11" t="s">
        <v>48</v>
      </c>
      <c r="G20" s="11" t="s">
        <v>49</v>
      </c>
      <c r="H20" s="11" t="s">
        <v>50</v>
      </c>
      <c r="I20" s="11" t="s">
        <v>51</v>
      </c>
      <c r="J20" s="6"/>
      <c r="K20" s="13">
        <f>3*100/53</f>
        <v>5.6603773584905657</v>
      </c>
      <c r="L20" s="34">
        <f>5*100/50</f>
        <v>10</v>
      </c>
      <c r="M20" s="13">
        <f>3*100/42</f>
        <v>7.1428571428571432</v>
      </c>
      <c r="N20" s="33">
        <f>6*100/49</f>
        <v>12.244897959183673</v>
      </c>
      <c r="O20" s="33">
        <f>5*100/44</f>
        <v>11.363636363636363</v>
      </c>
      <c r="P20" s="13">
        <f>3*100/43</f>
        <v>6.9767441860465116</v>
      </c>
    </row>
  </sheetData>
  <mergeCells count="25">
    <mergeCell ref="B18:B19"/>
    <mergeCell ref="K3:P4"/>
    <mergeCell ref="K9:P10"/>
    <mergeCell ref="K15:P16"/>
    <mergeCell ref="J3:J20"/>
    <mergeCell ref="K11:P11"/>
    <mergeCell ref="B12:B13"/>
    <mergeCell ref="B15:I15"/>
    <mergeCell ref="B16:C17"/>
    <mergeCell ref="D16:E16"/>
    <mergeCell ref="F16:G16"/>
    <mergeCell ref="H16:I16"/>
    <mergeCell ref="K17:P17"/>
    <mergeCell ref="B6:B7"/>
    <mergeCell ref="B9:I9"/>
    <mergeCell ref="B10:C11"/>
    <mergeCell ref="D10:E10"/>
    <mergeCell ref="F10:G10"/>
    <mergeCell ref="H10:I10"/>
    <mergeCell ref="B3:I3"/>
    <mergeCell ref="B4:C5"/>
    <mergeCell ref="D4:E4"/>
    <mergeCell ref="F4:G4"/>
    <mergeCell ref="H4:I4"/>
    <mergeCell ref="K5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EA55-E8D4-442E-9707-2FD061976793}">
  <dimension ref="B1:P27"/>
  <sheetViews>
    <sheetView zoomScale="85" zoomScaleNormal="85" workbookViewId="0">
      <selection activeCell="E20" sqref="E20"/>
    </sheetView>
  </sheetViews>
  <sheetFormatPr defaultRowHeight="14.4" x14ac:dyDescent="0.3"/>
  <cols>
    <col min="2" max="2" width="14.44140625" bestFit="1" customWidth="1"/>
    <col min="11" max="11" width="13.88671875" bestFit="1" customWidth="1"/>
    <col min="12" max="12" width="15.5546875" bestFit="1" customWidth="1"/>
    <col min="13" max="13" width="12.6640625" bestFit="1" customWidth="1"/>
    <col min="14" max="14" width="14.109375" bestFit="1" customWidth="1"/>
    <col min="15" max="16" width="12.6640625" bestFit="1" customWidth="1"/>
  </cols>
  <sheetData>
    <row r="1" spans="2:16" x14ac:dyDescent="0.3">
      <c r="B1" s="1"/>
    </row>
    <row r="3" spans="2:16" x14ac:dyDescent="0.3">
      <c r="B3" s="9" t="s">
        <v>59</v>
      </c>
      <c r="C3" s="9"/>
      <c r="D3" s="9"/>
      <c r="E3" s="9"/>
      <c r="F3" s="9"/>
      <c r="G3" s="9"/>
      <c r="H3" s="9"/>
      <c r="I3" s="9"/>
      <c r="J3" s="6"/>
      <c r="K3" s="16"/>
      <c r="L3" s="16"/>
      <c r="M3" s="16"/>
      <c r="N3" s="16"/>
      <c r="O3" s="16"/>
      <c r="P3" s="16"/>
    </row>
    <row r="4" spans="2:16" x14ac:dyDescent="0.3">
      <c r="B4" s="9"/>
      <c r="C4" s="9"/>
      <c r="D4" s="9">
        <v>20</v>
      </c>
      <c r="E4" s="9"/>
      <c r="F4" s="9">
        <v>10</v>
      </c>
      <c r="G4" s="9"/>
      <c r="H4" s="9">
        <v>5</v>
      </c>
      <c r="I4" s="9"/>
      <c r="J4" s="6"/>
      <c r="K4" s="9" t="s">
        <v>62</v>
      </c>
      <c r="L4" s="9"/>
      <c r="M4" s="9"/>
      <c r="N4" s="9"/>
      <c r="O4" s="9"/>
      <c r="P4" s="9"/>
    </row>
    <row r="5" spans="2:16" x14ac:dyDescent="0.3">
      <c r="B5" s="9"/>
      <c r="C5" s="9"/>
      <c r="D5" s="10" t="s">
        <v>56</v>
      </c>
      <c r="E5" s="10" t="s">
        <v>57</v>
      </c>
      <c r="F5" s="10" t="s">
        <v>56</v>
      </c>
      <c r="G5" s="10" t="s">
        <v>57</v>
      </c>
      <c r="H5" s="10" t="s">
        <v>56</v>
      </c>
      <c r="I5" s="10" t="s">
        <v>57</v>
      </c>
      <c r="J5" s="6"/>
      <c r="K5" s="11" t="s">
        <v>63</v>
      </c>
      <c r="L5" s="11" t="s">
        <v>64</v>
      </c>
      <c r="M5" s="11" t="s">
        <v>65</v>
      </c>
      <c r="N5" s="11" t="s">
        <v>66</v>
      </c>
      <c r="O5" s="11" t="s">
        <v>67</v>
      </c>
      <c r="P5" s="11" t="s">
        <v>67</v>
      </c>
    </row>
    <row r="6" spans="2:16" x14ac:dyDescent="0.3">
      <c r="B6" s="9" t="s">
        <v>54</v>
      </c>
      <c r="C6" s="11" t="s">
        <v>52</v>
      </c>
      <c r="D6" s="41">
        <v>400</v>
      </c>
      <c r="E6" s="41">
        <v>558</v>
      </c>
      <c r="F6" s="15">
        <v>296</v>
      </c>
      <c r="G6" s="15">
        <v>289</v>
      </c>
      <c r="H6" s="42">
        <v>282</v>
      </c>
      <c r="I6" s="42">
        <v>285</v>
      </c>
      <c r="J6" s="6"/>
      <c r="K6" s="38">
        <f>F6*100/D6 - 100</f>
        <v>-26</v>
      </c>
      <c r="L6" s="38">
        <f>G6*100/E6 - 100</f>
        <v>-48.207885304659499</v>
      </c>
      <c r="M6" s="38">
        <f>H6*100/D6 - 100</f>
        <v>-29.5</v>
      </c>
      <c r="N6" s="38">
        <f>I6*100/E6 - 100</f>
        <v>-48.924731182795696</v>
      </c>
      <c r="O6" s="37">
        <f>H6*100/F6 - 100</f>
        <v>-4.7297297297297263</v>
      </c>
      <c r="P6" s="37">
        <f>I6*100/G6 - 100</f>
        <v>-1.3840830449827024</v>
      </c>
    </row>
    <row r="7" spans="2:16" x14ac:dyDescent="0.3">
      <c r="B7" s="9"/>
      <c r="C7" s="11" t="s">
        <v>53</v>
      </c>
      <c r="D7" s="41">
        <v>340</v>
      </c>
      <c r="E7" s="42">
        <v>138</v>
      </c>
      <c r="F7" s="15">
        <v>284</v>
      </c>
      <c r="G7" s="15">
        <v>233</v>
      </c>
      <c r="H7" s="15">
        <v>323</v>
      </c>
      <c r="I7" s="41">
        <v>235</v>
      </c>
      <c r="J7" s="6"/>
      <c r="K7" s="38">
        <f t="shared" ref="K7:K8" si="0">F7*100/D7 - 100</f>
        <v>-16.470588235294116</v>
      </c>
      <c r="L7" s="39">
        <f t="shared" ref="L7:L8" si="1">G7*100/E7 - 100</f>
        <v>68.840579710144937</v>
      </c>
      <c r="M7" s="37">
        <f>H7*100/D7 - 100</f>
        <v>-5</v>
      </c>
      <c r="N7" s="39">
        <f t="shared" ref="N7:N8" si="2">I7*100/E7 - 100</f>
        <v>70.28985507246378</v>
      </c>
      <c r="O7" s="39">
        <f t="shared" ref="O7:O8" si="3">H7*100/F7 - 100</f>
        <v>13.732394366197184</v>
      </c>
      <c r="P7" s="37">
        <f t="shared" ref="P7:P8" si="4">I7*100/G7 - 100</f>
        <v>0.85836909871244416</v>
      </c>
    </row>
    <row r="8" spans="2:16" x14ac:dyDescent="0.3">
      <c r="B8" s="11" t="s">
        <v>55</v>
      </c>
      <c r="C8" s="11" t="s">
        <v>52</v>
      </c>
      <c r="D8" s="41">
        <v>693</v>
      </c>
      <c r="E8" s="41">
        <v>804</v>
      </c>
      <c r="F8" s="15">
        <v>311</v>
      </c>
      <c r="G8" s="15">
        <v>342</v>
      </c>
      <c r="H8" s="42">
        <v>300</v>
      </c>
      <c r="I8" s="42">
        <v>289</v>
      </c>
      <c r="J8" s="6"/>
      <c r="K8" s="38">
        <f t="shared" si="0"/>
        <v>-55.122655122655125</v>
      </c>
      <c r="L8" s="38">
        <f t="shared" si="1"/>
        <v>-57.462686567164177</v>
      </c>
      <c r="M8" s="38">
        <f>H8*100/D8 - 100</f>
        <v>-56.709956709956707</v>
      </c>
      <c r="N8" s="38">
        <f t="shared" si="2"/>
        <v>-64.054726368159209</v>
      </c>
      <c r="O8" s="37">
        <f t="shared" si="3"/>
        <v>-3.5369774919614088</v>
      </c>
      <c r="P8" s="38">
        <f t="shared" si="4"/>
        <v>-15.497076023391813</v>
      </c>
    </row>
    <row r="9" spans="2:16" x14ac:dyDescent="0.3">
      <c r="B9" s="9" t="s">
        <v>60</v>
      </c>
      <c r="C9" s="9"/>
      <c r="D9" s="9"/>
      <c r="E9" s="9"/>
      <c r="F9" s="9"/>
      <c r="G9" s="9"/>
      <c r="H9" s="9"/>
      <c r="I9" s="9"/>
      <c r="J9" s="6"/>
      <c r="K9" s="49"/>
      <c r="L9" s="49"/>
      <c r="M9" s="49"/>
      <c r="N9" s="49"/>
      <c r="O9" s="49"/>
      <c r="P9" s="49"/>
    </row>
    <row r="10" spans="2:16" x14ac:dyDescent="0.3">
      <c r="B10" s="9"/>
      <c r="C10" s="9"/>
      <c r="D10" s="9">
        <v>20</v>
      </c>
      <c r="E10" s="9"/>
      <c r="F10" s="9">
        <v>10</v>
      </c>
      <c r="G10" s="9"/>
      <c r="H10" s="9">
        <v>5</v>
      </c>
      <c r="I10" s="9"/>
      <c r="J10" s="6"/>
      <c r="K10" s="9" t="s">
        <v>62</v>
      </c>
      <c r="L10" s="9"/>
      <c r="M10" s="9"/>
      <c r="N10" s="9"/>
      <c r="O10" s="9"/>
      <c r="P10" s="9"/>
    </row>
    <row r="11" spans="2:16" x14ac:dyDescent="0.3">
      <c r="B11" s="9"/>
      <c r="C11" s="9"/>
      <c r="D11" s="11" t="s">
        <v>56</v>
      </c>
      <c r="E11" s="11" t="s">
        <v>57</v>
      </c>
      <c r="F11" s="11" t="s">
        <v>56</v>
      </c>
      <c r="G11" s="11" t="s">
        <v>57</v>
      </c>
      <c r="H11" s="11" t="s">
        <v>56</v>
      </c>
      <c r="I11" s="11" t="s">
        <v>57</v>
      </c>
      <c r="J11" s="6"/>
      <c r="K11" s="11" t="s">
        <v>63</v>
      </c>
      <c r="L11" s="11" t="s">
        <v>64</v>
      </c>
      <c r="M11" s="11" t="s">
        <v>65</v>
      </c>
      <c r="N11" s="11" t="s">
        <v>66</v>
      </c>
      <c r="O11" s="11" t="s">
        <v>67</v>
      </c>
      <c r="P11" s="11" t="s">
        <v>67</v>
      </c>
    </row>
    <row r="12" spans="2:16" x14ac:dyDescent="0.3">
      <c r="B12" s="9" t="s">
        <v>54</v>
      </c>
      <c r="C12" s="11" t="s">
        <v>52</v>
      </c>
      <c r="D12" s="41">
        <v>221</v>
      </c>
      <c r="E12" s="41">
        <v>240</v>
      </c>
      <c r="F12" s="11">
        <v>210</v>
      </c>
      <c r="G12" s="11">
        <v>220</v>
      </c>
      <c r="H12" s="42">
        <v>208</v>
      </c>
      <c r="I12" s="42">
        <v>216</v>
      </c>
      <c r="J12" s="6"/>
      <c r="K12" s="40">
        <f>F12*100/D12 - 100</f>
        <v>-4.9773755656108563</v>
      </c>
      <c r="L12" s="40">
        <f>G12*100/E12 - 100</f>
        <v>-8.3333333333333286</v>
      </c>
      <c r="M12" s="40">
        <f>H12*100/D12 - 100</f>
        <v>-5.8823529411764639</v>
      </c>
      <c r="N12" s="38">
        <f>I12*100/E12 - 100</f>
        <v>-10</v>
      </c>
      <c r="O12" s="40">
        <f>H12*100/F12 - 100</f>
        <v>-0.952380952380949</v>
      </c>
      <c r="P12" s="40">
        <f>I12*100/G12 - 100</f>
        <v>-1.818181818181813</v>
      </c>
    </row>
    <row r="13" spans="2:16" x14ac:dyDescent="0.3">
      <c r="B13" s="9"/>
      <c r="C13" s="11" t="s">
        <v>53</v>
      </c>
      <c r="D13" s="11">
        <v>201</v>
      </c>
      <c r="E13" s="15">
        <v>134</v>
      </c>
      <c r="F13" s="15">
        <v>210</v>
      </c>
      <c r="G13" s="15">
        <v>209</v>
      </c>
      <c r="H13" s="41">
        <v>241</v>
      </c>
      <c r="I13" s="41">
        <v>215</v>
      </c>
      <c r="J13" s="6"/>
      <c r="K13" s="40">
        <f t="shared" ref="K13:K14" si="5">F13*100/D13 - 100</f>
        <v>4.4776119402985017</v>
      </c>
      <c r="L13" s="39">
        <f t="shared" ref="L13:L14" si="6">G13*100/E13 - 100</f>
        <v>55.970149253731336</v>
      </c>
      <c r="M13" s="39">
        <f>H13*100/D13 - 100</f>
        <v>19.900497512437809</v>
      </c>
      <c r="N13" s="39">
        <f t="shared" ref="N13:N14" si="7">I13*100/E13 - 100</f>
        <v>60.447761194029852</v>
      </c>
      <c r="O13" s="39">
        <f t="shared" ref="O13:O14" si="8">H13*100/F13 - 100</f>
        <v>14.761904761904759</v>
      </c>
      <c r="P13" s="40">
        <f t="shared" ref="P13:P14" si="9">I13*100/G13 - 100</f>
        <v>2.8708133971291829</v>
      </c>
    </row>
    <row r="14" spans="2:16" x14ac:dyDescent="0.3">
      <c r="B14" s="11" t="s">
        <v>55</v>
      </c>
      <c r="C14" s="11" t="s">
        <v>52</v>
      </c>
      <c r="D14" s="41">
        <v>218</v>
      </c>
      <c r="E14" s="41">
        <v>234</v>
      </c>
      <c r="F14" s="42">
        <v>210</v>
      </c>
      <c r="G14" s="11">
        <v>227</v>
      </c>
      <c r="H14" s="11">
        <v>213</v>
      </c>
      <c r="I14" s="42">
        <v>219</v>
      </c>
      <c r="J14" s="6"/>
      <c r="K14" s="40">
        <f t="shared" si="5"/>
        <v>-3.6697247706422047</v>
      </c>
      <c r="L14" s="40">
        <f t="shared" si="6"/>
        <v>-2.9914529914529879</v>
      </c>
      <c r="M14" s="40">
        <f>H14*100/D14 - 100</f>
        <v>-2.2935779816513815</v>
      </c>
      <c r="N14" s="40">
        <f t="shared" si="7"/>
        <v>-6.4102564102564088</v>
      </c>
      <c r="O14" s="40">
        <f t="shared" si="8"/>
        <v>1.4285714285714306</v>
      </c>
      <c r="P14" s="40">
        <f t="shared" si="9"/>
        <v>-3.5242290748898739</v>
      </c>
    </row>
    <row r="15" spans="2:16" x14ac:dyDescent="0.3">
      <c r="B15" s="9" t="s">
        <v>61</v>
      </c>
      <c r="C15" s="9"/>
      <c r="D15" s="9"/>
      <c r="E15" s="9"/>
      <c r="F15" s="9"/>
      <c r="G15" s="9"/>
      <c r="H15" s="9"/>
      <c r="I15" s="9"/>
      <c r="J15" s="6"/>
      <c r="K15" s="49"/>
      <c r="L15" s="49"/>
      <c r="M15" s="49"/>
      <c r="N15" s="49"/>
      <c r="O15" s="49"/>
      <c r="P15" s="49"/>
    </row>
    <row r="16" spans="2:16" x14ac:dyDescent="0.3">
      <c r="B16" s="9"/>
      <c r="C16" s="9"/>
      <c r="D16" s="9">
        <v>20</v>
      </c>
      <c r="E16" s="9"/>
      <c r="F16" s="9">
        <v>10</v>
      </c>
      <c r="G16" s="9"/>
      <c r="H16" s="9">
        <v>5</v>
      </c>
      <c r="I16" s="9"/>
      <c r="J16" s="6"/>
      <c r="K16" s="9" t="s">
        <v>62</v>
      </c>
      <c r="L16" s="9"/>
      <c r="M16" s="9"/>
      <c r="N16" s="9"/>
      <c r="O16" s="9"/>
      <c r="P16" s="9"/>
    </row>
    <row r="17" spans="2:16" x14ac:dyDescent="0.3">
      <c r="B17" s="9"/>
      <c r="C17" s="9"/>
      <c r="D17" s="11" t="s">
        <v>56</v>
      </c>
      <c r="E17" s="11" t="s">
        <v>57</v>
      </c>
      <c r="F17" s="11" t="s">
        <v>56</v>
      </c>
      <c r="G17" s="11" t="s">
        <v>57</v>
      </c>
      <c r="H17" s="11" t="s">
        <v>56</v>
      </c>
      <c r="I17" s="11" t="s">
        <v>57</v>
      </c>
      <c r="J17" s="6"/>
      <c r="K17" s="11" t="s">
        <v>63</v>
      </c>
      <c r="L17" s="11" t="s">
        <v>64</v>
      </c>
      <c r="M17" s="11" t="s">
        <v>65</v>
      </c>
      <c r="N17" s="11" t="s">
        <v>66</v>
      </c>
      <c r="O17" s="11" t="s">
        <v>67</v>
      </c>
      <c r="P17" s="11" t="s">
        <v>67</v>
      </c>
    </row>
    <row r="18" spans="2:16" x14ac:dyDescent="0.3">
      <c r="B18" s="9" t="s">
        <v>54</v>
      </c>
      <c r="C18" s="11" t="s">
        <v>52</v>
      </c>
      <c r="D18" s="41">
        <v>48</v>
      </c>
      <c r="E18" s="41">
        <v>51</v>
      </c>
      <c r="F18" s="11">
        <v>44</v>
      </c>
      <c r="G18" s="42">
        <v>44</v>
      </c>
      <c r="H18" s="42">
        <v>43</v>
      </c>
      <c r="I18" s="11">
        <v>47</v>
      </c>
      <c r="J18" s="6"/>
      <c r="K18" s="40">
        <f>F18*100/D18 - 100</f>
        <v>-8.3333333333333286</v>
      </c>
      <c r="L18" s="38">
        <f>G18*100/E18 - 100</f>
        <v>-13.725490196078425</v>
      </c>
      <c r="M18" s="38">
        <f>H18*100/D18 - 100</f>
        <v>-10.416666666666671</v>
      </c>
      <c r="N18" s="40">
        <f>I18*100/E18 - 100</f>
        <v>-7.8431372549019613</v>
      </c>
      <c r="O18" s="40">
        <f>H18*100/F18 - 100</f>
        <v>-2.2727272727272663</v>
      </c>
      <c r="P18" s="40">
        <f>I18*100/G18 - 100</f>
        <v>6.818181818181813</v>
      </c>
    </row>
    <row r="19" spans="2:16" x14ac:dyDescent="0.3">
      <c r="B19" s="9"/>
      <c r="C19" s="11" t="s">
        <v>53</v>
      </c>
      <c r="D19" s="42">
        <v>38</v>
      </c>
      <c r="E19" s="42">
        <v>31</v>
      </c>
      <c r="F19" s="42">
        <v>38</v>
      </c>
      <c r="G19" s="43">
        <v>46</v>
      </c>
      <c r="H19" s="41">
        <v>50</v>
      </c>
      <c r="I19" s="41">
        <v>46</v>
      </c>
      <c r="J19" s="6"/>
      <c r="K19" s="40">
        <f t="shared" ref="K19:K20" si="10">F19*100/D19 - 100</f>
        <v>0</v>
      </c>
      <c r="L19" s="39">
        <f t="shared" ref="L19:L20" si="11">G19*100/E19 - 100</f>
        <v>48.387096774193537</v>
      </c>
      <c r="M19" s="39">
        <f>H19*100/D19 - 100</f>
        <v>31.578947368421041</v>
      </c>
      <c r="N19" s="39">
        <f t="shared" ref="N19:N20" si="12">I19*100/E19 - 100</f>
        <v>48.387096774193537</v>
      </c>
      <c r="O19" s="39">
        <f t="shared" ref="O19:O20" si="13">H19*100/F19 - 100</f>
        <v>31.578947368421041</v>
      </c>
      <c r="P19" s="40">
        <f t="shared" ref="P19:P20" si="14">I19*100/G19 - 100</f>
        <v>0</v>
      </c>
    </row>
    <row r="20" spans="2:16" x14ac:dyDescent="0.3">
      <c r="B20" s="11" t="s">
        <v>55</v>
      </c>
      <c r="C20" s="11" t="s">
        <v>52</v>
      </c>
      <c r="D20" s="41">
        <v>53</v>
      </c>
      <c r="E20" s="41">
        <v>50</v>
      </c>
      <c r="F20" s="42">
        <v>42</v>
      </c>
      <c r="G20" s="11">
        <v>49</v>
      </c>
      <c r="H20" s="11">
        <v>44</v>
      </c>
      <c r="I20" s="42">
        <v>43</v>
      </c>
      <c r="J20" s="6"/>
      <c r="K20" s="38">
        <f t="shared" si="10"/>
        <v>-20.754716981132077</v>
      </c>
      <c r="L20" s="40">
        <f t="shared" si="11"/>
        <v>-2</v>
      </c>
      <c r="M20" s="38">
        <f>H20*100/D20 - 100</f>
        <v>-16.981132075471692</v>
      </c>
      <c r="N20" s="38">
        <f t="shared" si="12"/>
        <v>-14</v>
      </c>
      <c r="O20" s="40">
        <f t="shared" si="13"/>
        <v>4.7619047619047592</v>
      </c>
      <c r="P20" s="38">
        <f t="shared" si="14"/>
        <v>-12.244897959183675</v>
      </c>
    </row>
    <row r="21" spans="2:16" x14ac:dyDescent="0.3">
      <c r="B21" s="4"/>
      <c r="C21" s="4"/>
      <c r="D21" s="4"/>
      <c r="E21" s="21"/>
      <c r="F21" s="21"/>
      <c r="G21" s="21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3">
      <c r="B22" s="2"/>
      <c r="C22" s="2"/>
      <c r="D22" s="2"/>
      <c r="E22" s="44"/>
      <c r="F22" s="9" t="s">
        <v>68</v>
      </c>
      <c r="G22" s="9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3">
      <c r="B23" s="2"/>
      <c r="C23" s="2"/>
      <c r="D23" s="2"/>
      <c r="E23" s="45"/>
      <c r="F23" s="9" t="s">
        <v>69</v>
      </c>
      <c r="G23" s="9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3">
      <c r="K24" s="8"/>
      <c r="L24" s="8"/>
      <c r="M24" s="8"/>
      <c r="N24" s="8"/>
      <c r="O24" s="8"/>
      <c r="P24" s="8"/>
    </row>
    <row r="25" spans="2:16" x14ac:dyDescent="0.3">
      <c r="K25" s="8"/>
      <c r="L25" s="8"/>
      <c r="M25" s="8"/>
      <c r="N25" s="8"/>
      <c r="O25" s="8"/>
      <c r="P25" s="8"/>
    </row>
    <row r="26" spans="2:16" x14ac:dyDescent="0.3">
      <c r="K26" s="8"/>
      <c r="L26" s="8"/>
      <c r="M26" s="8"/>
      <c r="N26" s="8"/>
      <c r="O26" s="8"/>
      <c r="P26" s="8"/>
    </row>
    <row r="27" spans="2:16" x14ac:dyDescent="0.3">
      <c r="J27">
        <f>MEDIAN(D19:I19)</f>
        <v>42</v>
      </c>
    </row>
  </sheetData>
  <mergeCells count="30">
    <mergeCell ref="K15:P15"/>
    <mergeCell ref="H21:P23"/>
    <mergeCell ref="B21:D23"/>
    <mergeCell ref="E21:G21"/>
    <mergeCell ref="F22:G22"/>
    <mergeCell ref="F23:G23"/>
    <mergeCell ref="B3:I3"/>
    <mergeCell ref="K10:P10"/>
    <mergeCell ref="K16:P16"/>
    <mergeCell ref="J3:J20"/>
    <mergeCell ref="K3:P3"/>
    <mergeCell ref="K9:P9"/>
    <mergeCell ref="B12:B13"/>
    <mergeCell ref="B18:B19"/>
    <mergeCell ref="B4:C5"/>
    <mergeCell ref="B10:C11"/>
    <mergeCell ref="B16:C17"/>
    <mergeCell ref="B15:I15"/>
    <mergeCell ref="B9:I9"/>
    <mergeCell ref="D16:E16"/>
    <mergeCell ref="F16:G16"/>
    <mergeCell ref="H16:I16"/>
    <mergeCell ref="K4:P4"/>
    <mergeCell ref="B6:B7"/>
    <mergeCell ref="D4:E4"/>
    <mergeCell ref="F4:G4"/>
    <mergeCell ref="H4:I4"/>
    <mergeCell ref="D10:E10"/>
    <mergeCell ref="F10:G10"/>
    <mergeCell ref="H10:I1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379B-63E0-4A27-AEAB-86DCCA0874F5}">
  <dimension ref="B1:P23"/>
  <sheetViews>
    <sheetView zoomScale="85" zoomScaleNormal="85" workbookViewId="0">
      <selection activeCell="G24" sqref="G24"/>
    </sheetView>
  </sheetViews>
  <sheetFormatPr defaultRowHeight="14.4" x14ac:dyDescent="0.3"/>
  <cols>
    <col min="2" max="2" width="14.44140625" bestFit="1" customWidth="1"/>
    <col min="11" max="11" width="6.77734375" bestFit="1" customWidth="1"/>
    <col min="12" max="12" width="8.44140625" bestFit="1" customWidth="1"/>
    <col min="13" max="13" width="6.77734375" bestFit="1" customWidth="1"/>
    <col min="14" max="14" width="8.44140625" bestFit="1" customWidth="1"/>
    <col min="15" max="16" width="6.77734375" bestFit="1" customWidth="1"/>
  </cols>
  <sheetData>
    <row r="1" spans="2:16" x14ac:dyDescent="0.3">
      <c r="B1" s="1"/>
    </row>
    <row r="3" spans="2:16" x14ac:dyDescent="0.3">
      <c r="B3" s="9" t="s">
        <v>59</v>
      </c>
      <c r="C3" s="9"/>
      <c r="D3" s="9"/>
      <c r="E3" s="9"/>
      <c r="F3" s="9"/>
      <c r="G3" s="9"/>
      <c r="H3" s="9"/>
      <c r="I3" s="9"/>
      <c r="J3" s="6"/>
      <c r="K3" s="9" t="s">
        <v>62</v>
      </c>
      <c r="L3" s="9"/>
      <c r="M3" s="9"/>
      <c r="N3" s="9"/>
      <c r="O3" s="9"/>
      <c r="P3" s="9"/>
    </row>
    <row r="4" spans="2:16" x14ac:dyDescent="0.3">
      <c r="B4" s="9"/>
      <c r="C4" s="9"/>
      <c r="D4" s="9">
        <v>20</v>
      </c>
      <c r="E4" s="9"/>
      <c r="F4" s="9">
        <v>10</v>
      </c>
      <c r="G4" s="9"/>
      <c r="H4" s="9">
        <v>5</v>
      </c>
      <c r="I4" s="9"/>
      <c r="J4" s="6"/>
      <c r="K4" s="9">
        <v>20</v>
      </c>
      <c r="L4" s="9"/>
      <c r="M4" s="9">
        <v>10</v>
      </c>
      <c r="N4" s="9"/>
      <c r="O4" s="9">
        <v>5</v>
      </c>
      <c r="P4" s="9"/>
    </row>
    <row r="5" spans="2:16" x14ac:dyDescent="0.3">
      <c r="B5" s="9"/>
      <c r="C5" s="9"/>
      <c r="D5" s="10" t="s">
        <v>56</v>
      </c>
      <c r="E5" s="10" t="s">
        <v>57</v>
      </c>
      <c r="F5" s="10" t="s">
        <v>56</v>
      </c>
      <c r="G5" s="10" t="s">
        <v>57</v>
      </c>
      <c r="H5" s="10" t="s">
        <v>56</v>
      </c>
      <c r="I5" s="10" t="s">
        <v>57</v>
      </c>
      <c r="J5" s="6"/>
      <c r="K5" s="11" t="s">
        <v>56</v>
      </c>
      <c r="L5" s="11" t="s">
        <v>57</v>
      </c>
      <c r="M5" s="11" t="s">
        <v>56</v>
      </c>
      <c r="N5" s="11" t="s">
        <v>57</v>
      </c>
      <c r="O5" s="11" t="s">
        <v>56</v>
      </c>
      <c r="P5" s="11" t="s">
        <v>56</v>
      </c>
    </row>
    <row r="6" spans="2:16" x14ac:dyDescent="0.3">
      <c r="B6" s="15" t="s">
        <v>54</v>
      </c>
      <c r="C6" s="15" t="s">
        <v>52</v>
      </c>
      <c r="D6" s="42">
        <v>400</v>
      </c>
      <c r="E6" s="42">
        <v>558</v>
      </c>
      <c r="F6" s="15">
        <v>296</v>
      </c>
      <c r="G6" s="42">
        <v>289</v>
      </c>
      <c r="H6" s="15">
        <v>282</v>
      </c>
      <c r="I6" s="15">
        <v>285</v>
      </c>
      <c r="J6" s="6"/>
      <c r="K6" s="38">
        <f>$D$6*100/D7 - 100</f>
        <v>-42.279942279942283</v>
      </c>
      <c r="L6" s="38">
        <f>$E$6*100/E7 - 100</f>
        <v>-30.597014925373131</v>
      </c>
      <c r="M6" s="40">
        <f>$F$6*100/F7 - 100</f>
        <v>-4.8231511254019352</v>
      </c>
      <c r="N6" s="38">
        <f>$G$6*100/G7 - 100</f>
        <v>-15.497076023391813</v>
      </c>
      <c r="O6" s="40">
        <f>$H$6*100/H7 - 100</f>
        <v>-6</v>
      </c>
      <c r="P6" s="40">
        <f>$I$6*100/I7 - 100</f>
        <v>-1.3840830449827024</v>
      </c>
    </row>
    <row r="7" spans="2:16" x14ac:dyDescent="0.3">
      <c r="B7" s="15" t="s">
        <v>55</v>
      </c>
      <c r="C7" s="15" t="s">
        <v>52</v>
      </c>
      <c r="D7" s="15">
        <v>693</v>
      </c>
      <c r="E7" s="15">
        <v>804</v>
      </c>
      <c r="F7" s="15">
        <v>311</v>
      </c>
      <c r="G7" s="15">
        <v>342</v>
      </c>
      <c r="H7" s="15">
        <v>300</v>
      </c>
      <c r="I7" s="15">
        <v>289</v>
      </c>
      <c r="J7" s="6"/>
      <c r="K7" s="46"/>
      <c r="L7" s="46"/>
      <c r="M7" s="46"/>
      <c r="N7" s="46"/>
      <c r="O7" s="46"/>
      <c r="P7" s="46"/>
    </row>
    <row r="8" spans="2:16" x14ac:dyDescent="0.3">
      <c r="B8" s="14" t="s">
        <v>60</v>
      </c>
      <c r="C8" s="14"/>
      <c r="D8" s="14"/>
      <c r="E8" s="14"/>
      <c r="F8" s="14"/>
      <c r="G8" s="14"/>
      <c r="H8" s="14"/>
      <c r="I8" s="14"/>
      <c r="J8" s="6"/>
      <c r="K8" s="9" t="s">
        <v>62</v>
      </c>
      <c r="L8" s="9"/>
      <c r="M8" s="9"/>
      <c r="N8" s="9"/>
      <c r="O8" s="9"/>
      <c r="P8" s="9"/>
    </row>
    <row r="9" spans="2:16" x14ac:dyDescent="0.3">
      <c r="B9" s="14"/>
      <c r="C9" s="14"/>
      <c r="D9" s="14">
        <v>20</v>
      </c>
      <c r="E9" s="14"/>
      <c r="F9" s="14">
        <v>10</v>
      </c>
      <c r="G9" s="14"/>
      <c r="H9" s="14">
        <v>5</v>
      </c>
      <c r="I9" s="14"/>
      <c r="J9" s="6"/>
      <c r="K9" s="9">
        <v>20</v>
      </c>
      <c r="L9" s="9"/>
      <c r="M9" s="9">
        <v>10</v>
      </c>
      <c r="N9" s="9"/>
      <c r="O9" s="9">
        <v>5</v>
      </c>
      <c r="P9" s="9"/>
    </row>
    <row r="10" spans="2:16" x14ac:dyDescent="0.3">
      <c r="B10" s="14"/>
      <c r="C10" s="14"/>
      <c r="D10" s="15" t="s">
        <v>56</v>
      </c>
      <c r="E10" s="15" t="s">
        <v>57</v>
      </c>
      <c r="F10" s="15" t="s">
        <v>56</v>
      </c>
      <c r="G10" s="15" t="s">
        <v>57</v>
      </c>
      <c r="H10" s="15" t="s">
        <v>56</v>
      </c>
      <c r="I10" s="15" t="s">
        <v>57</v>
      </c>
      <c r="J10" s="6"/>
      <c r="K10" s="15" t="s">
        <v>56</v>
      </c>
      <c r="L10" s="15" t="s">
        <v>57</v>
      </c>
      <c r="M10" s="15" t="s">
        <v>56</v>
      </c>
      <c r="N10" s="15" t="s">
        <v>57</v>
      </c>
      <c r="O10" s="15" t="s">
        <v>56</v>
      </c>
      <c r="P10" s="15" t="s">
        <v>56</v>
      </c>
    </row>
    <row r="11" spans="2:16" x14ac:dyDescent="0.3">
      <c r="B11" s="15" t="s">
        <v>54</v>
      </c>
      <c r="C11" s="15" t="s">
        <v>52</v>
      </c>
      <c r="D11" s="15">
        <v>221</v>
      </c>
      <c r="E11" s="15">
        <v>240</v>
      </c>
      <c r="F11" s="15">
        <v>210</v>
      </c>
      <c r="G11" s="15">
        <v>220</v>
      </c>
      <c r="H11" s="15">
        <v>208</v>
      </c>
      <c r="I11" s="15">
        <v>216</v>
      </c>
      <c r="J11" s="6"/>
      <c r="K11" s="40">
        <f>$D$11*100/D12 - 100</f>
        <v>1.3761467889908232</v>
      </c>
      <c r="L11" s="40">
        <f>$E$11*100/E12 - 100</f>
        <v>2.5641025641025692</v>
      </c>
      <c r="M11" s="40">
        <f>$F$11*100/F12 - 100</f>
        <v>0</v>
      </c>
      <c r="N11" s="40">
        <f>$G$11*100/G12 - 100</f>
        <v>-3.0837004405286308</v>
      </c>
      <c r="O11" s="40">
        <f>$H$11*100/H12 - 100</f>
        <v>-2.3474178403755843</v>
      </c>
      <c r="P11" s="40">
        <f>$I$11*100/I12 - 100</f>
        <v>-1.3698630136986338</v>
      </c>
    </row>
    <row r="12" spans="2:16" x14ac:dyDescent="0.3">
      <c r="B12" s="15" t="s">
        <v>55</v>
      </c>
      <c r="C12" s="15" t="s">
        <v>52</v>
      </c>
      <c r="D12" s="15">
        <v>218</v>
      </c>
      <c r="E12" s="15">
        <v>234</v>
      </c>
      <c r="F12" s="15">
        <v>210</v>
      </c>
      <c r="G12" s="15">
        <v>227</v>
      </c>
      <c r="H12" s="15">
        <v>213</v>
      </c>
      <c r="I12" s="15">
        <v>219</v>
      </c>
      <c r="J12" s="6"/>
      <c r="K12" s="46"/>
      <c r="L12" s="46"/>
      <c r="M12" s="46"/>
      <c r="N12" s="46"/>
      <c r="O12" s="46"/>
      <c r="P12" s="46"/>
    </row>
    <row r="13" spans="2:16" x14ac:dyDescent="0.3">
      <c r="B13" s="14" t="s">
        <v>61</v>
      </c>
      <c r="C13" s="14"/>
      <c r="D13" s="14"/>
      <c r="E13" s="14"/>
      <c r="F13" s="14"/>
      <c r="G13" s="14"/>
      <c r="H13" s="14"/>
      <c r="I13" s="14"/>
      <c r="J13" s="6"/>
      <c r="K13" s="9" t="s">
        <v>62</v>
      </c>
      <c r="L13" s="9"/>
      <c r="M13" s="9"/>
      <c r="N13" s="9"/>
      <c r="O13" s="9"/>
      <c r="P13" s="9"/>
    </row>
    <row r="14" spans="2:16" x14ac:dyDescent="0.3">
      <c r="B14" s="14"/>
      <c r="C14" s="14"/>
      <c r="D14" s="14">
        <v>20</v>
      </c>
      <c r="E14" s="14"/>
      <c r="F14" s="14">
        <v>10</v>
      </c>
      <c r="G14" s="14"/>
      <c r="H14" s="14">
        <v>5</v>
      </c>
      <c r="I14" s="14"/>
      <c r="J14" s="6"/>
      <c r="K14" s="9">
        <v>20</v>
      </c>
      <c r="L14" s="9"/>
      <c r="M14" s="9">
        <v>10</v>
      </c>
      <c r="N14" s="9"/>
      <c r="O14" s="9">
        <v>5</v>
      </c>
      <c r="P14" s="9"/>
    </row>
    <row r="15" spans="2:16" x14ac:dyDescent="0.3">
      <c r="B15" s="14"/>
      <c r="C15" s="14"/>
      <c r="D15" s="15" t="s">
        <v>56</v>
      </c>
      <c r="E15" s="15" t="s">
        <v>57</v>
      </c>
      <c r="F15" s="15" t="s">
        <v>56</v>
      </c>
      <c r="G15" s="15" t="s">
        <v>57</v>
      </c>
      <c r="H15" s="15" t="s">
        <v>56</v>
      </c>
      <c r="I15" s="15" t="s">
        <v>57</v>
      </c>
      <c r="J15" s="6"/>
      <c r="K15" s="15" t="s">
        <v>56</v>
      </c>
      <c r="L15" s="15" t="s">
        <v>57</v>
      </c>
      <c r="M15" s="15" t="s">
        <v>56</v>
      </c>
      <c r="N15" s="15" t="s">
        <v>57</v>
      </c>
      <c r="O15" s="15" t="s">
        <v>56</v>
      </c>
      <c r="P15" s="15" t="s">
        <v>56</v>
      </c>
    </row>
    <row r="16" spans="2:16" x14ac:dyDescent="0.3">
      <c r="B16" s="15" t="s">
        <v>54</v>
      </c>
      <c r="C16" s="15" t="s">
        <v>52</v>
      </c>
      <c r="D16" s="15">
        <v>48</v>
      </c>
      <c r="E16" s="15">
        <v>51</v>
      </c>
      <c r="F16" s="15">
        <v>44</v>
      </c>
      <c r="G16" s="42">
        <v>44</v>
      </c>
      <c r="H16" s="15">
        <v>43</v>
      </c>
      <c r="I16" s="15">
        <v>47</v>
      </c>
      <c r="J16" s="6"/>
      <c r="K16" s="40">
        <f>$D$16*100/D17 - 100</f>
        <v>-9.4339622641509493</v>
      </c>
      <c r="L16" s="40">
        <f>$E$16*100/E17 - 100</f>
        <v>2</v>
      </c>
      <c r="M16" s="40">
        <f>$F$16*100/F17 - 100</f>
        <v>4.7619047619047592</v>
      </c>
      <c r="N16" s="38">
        <f>$G$16*100/G17 - 100</f>
        <v>-10.204081632653057</v>
      </c>
      <c r="O16" s="40">
        <f>$H$16*100/H17 - 100</f>
        <v>-2.2727272727272663</v>
      </c>
      <c r="P16" s="40">
        <f>$I$16*100/I17 - 100</f>
        <v>9.3023255813953512</v>
      </c>
    </row>
    <row r="17" spans="2:16" x14ac:dyDescent="0.3">
      <c r="B17" s="15" t="s">
        <v>55</v>
      </c>
      <c r="C17" s="15" t="s">
        <v>52</v>
      </c>
      <c r="D17" s="15">
        <v>53</v>
      </c>
      <c r="E17" s="15">
        <v>50</v>
      </c>
      <c r="F17" s="15">
        <v>42</v>
      </c>
      <c r="G17" s="15">
        <v>49</v>
      </c>
      <c r="H17" s="15">
        <v>44</v>
      </c>
      <c r="I17" s="15">
        <v>43</v>
      </c>
      <c r="J17" s="6"/>
      <c r="K17" s="47"/>
      <c r="L17" s="47"/>
      <c r="M17" s="47"/>
      <c r="N17" s="47"/>
      <c r="O17" s="47"/>
      <c r="P17" s="47"/>
    </row>
    <row r="18" spans="2:16" x14ac:dyDescent="0.3">
      <c r="B18" s="4"/>
      <c r="C18" s="4"/>
      <c r="D18" s="4"/>
      <c r="E18" s="21"/>
      <c r="F18" s="21"/>
      <c r="G18" s="21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3">
      <c r="B19" s="2"/>
      <c r="C19" s="2"/>
      <c r="D19" s="2"/>
      <c r="E19" s="45"/>
      <c r="F19" s="9" t="s">
        <v>69</v>
      </c>
      <c r="G19" s="9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3">
      <c r="B20" s="2"/>
      <c r="C20" s="2"/>
      <c r="D20" s="2"/>
      <c r="E20" s="7"/>
      <c r="F20" s="7"/>
      <c r="G20" s="7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3">
      <c r="K21" s="8"/>
      <c r="L21" s="48"/>
      <c r="M21" s="8"/>
      <c r="N21" s="8"/>
      <c r="O21" s="8"/>
      <c r="P21" s="8"/>
    </row>
    <row r="22" spans="2:16" x14ac:dyDescent="0.3">
      <c r="K22" s="8"/>
      <c r="L22" s="8"/>
      <c r="M22" s="8"/>
      <c r="N22" s="8"/>
      <c r="O22" s="8"/>
      <c r="P22" s="8"/>
    </row>
    <row r="23" spans="2:16" x14ac:dyDescent="0.3">
      <c r="K23" s="8"/>
      <c r="L23" s="8">
        <f>MEDIAN(D16:I17)</f>
        <v>45.5</v>
      </c>
      <c r="M23" s="8"/>
      <c r="N23" s="8"/>
      <c r="O23" s="8"/>
      <c r="P23" s="8"/>
    </row>
  </sheetData>
  <mergeCells count="34">
    <mergeCell ref="H18:P20"/>
    <mergeCell ref="B18:D20"/>
    <mergeCell ref="E18:G18"/>
    <mergeCell ref="K17:P17"/>
    <mergeCell ref="O9:P9"/>
    <mergeCell ref="K14:L14"/>
    <mergeCell ref="M14:N14"/>
    <mergeCell ref="O14:P14"/>
    <mergeCell ref="K8:P8"/>
    <mergeCell ref="K13:P13"/>
    <mergeCell ref="F19:G19"/>
    <mergeCell ref="J3:J17"/>
    <mergeCell ref="E20:G20"/>
    <mergeCell ref="B13:I13"/>
    <mergeCell ref="B14:C15"/>
    <mergeCell ref="D14:E14"/>
    <mergeCell ref="F14:G14"/>
    <mergeCell ref="H14:I14"/>
    <mergeCell ref="K9:L9"/>
    <mergeCell ref="M9:N9"/>
    <mergeCell ref="B8:I8"/>
    <mergeCell ref="B9:C10"/>
    <mergeCell ref="D9:E9"/>
    <mergeCell ref="F9:G9"/>
    <mergeCell ref="H9:I9"/>
    <mergeCell ref="B3:I3"/>
    <mergeCell ref="B4:C5"/>
    <mergeCell ref="D4:E4"/>
    <mergeCell ref="F4:G4"/>
    <mergeCell ref="H4:I4"/>
    <mergeCell ref="K3:P3"/>
    <mergeCell ref="K4:L4"/>
    <mergeCell ref="M4:N4"/>
    <mergeCell ref="O4:P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ED02-75AA-47E8-98C7-FA27FF9EA693}">
  <dimension ref="C4:U13"/>
  <sheetViews>
    <sheetView topLeftCell="B1" workbookViewId="0">
      <selection activeCell="C4" sqref="C4:J9"/>
    </sheetView>
  </sheetViews>
  <sheetFormatPr defaultRowHeight="14.4" x14ac:dyDescent="0.3"/>
  <cols>
    <col min="3" max="3" width="14.44140625" bestFit="1" customWidth="1"/>
    <col min="4" max="4" width="12.109375" bestFit="1" customWidth="1"/>
    <col min="5" max="10" width="10.5546875" bestFit="1" customWidth="1"/>
  </cols>
  <sheetData>
    <row r="4" spans="3:21" x14ac:dyDescent="0.3">
      <c r="C4" s="9" t="s">
        <v>61</v>
      </c>
      <c r="D4" s="9"/>
      <c r="E4" s="9"/>
      <c r="F4" s="9"/>
      <c r="G4" s="9"/>
      <c r="H4" s="9"/>
      <c r="I4" s="9"/>
      <c r="J4" s="9"/>
      <c r="N4" s="9" t="s">
        <v>61</v>
      </c>
      <c r="O4" s="9"/>
      <c r="P4" s="9"/>
      <c r="Q4" s="9"/>
      <c r="R4" s="9"/>
      <c r="S4" s="9"/>
      <c r="T4" s="9"/>
      <c r="U4" s="9"/>
    </row>
    <row r="5" spans="3:21" x14ac:dyDescent="0.3">
      <c r="C5" s="9"/>
      <c r="D5" s="9"/>
      <c r="E5" s="9">
        <v>20</v>
      </c>
      <c r="F5" s="9"/>
      <c r="G5" s="9">
        <v>10</v>
      </c>
      <c r="H5" s="9"/>
      <c r="I5" s="9">
        <v>5</v>
      </c>
      <c r="J5" s="9"/>
      <c r="N5" s="9"/>
      <c r="O5" s="9"/>
      <c r="P5" s="9">
        <v>20</v>
      </c>
      <c r="Q5" s="9"/>
      <c r="R5" s="9">
        <v>10</v>
      </c>
      <c r="S5" s="9"/>
      <c r="T5" s="9">
        <v>5</v>
      </c>
      <c r="U5" s="9"/>
    </row>
    <row r="6" spans="3:21" x14ac:dyDescent="0.3">
      <c r="C6" s="9"/>
      <c r="D6" s="9"/>
      <c r="E6" s="11" t="s">
        <v>56</v>
      </c>
      <c r="F6" s="11" t="s">
        <v>57</v>
      </c>
      <c r="G6" s="11" t="s">
        <v>56</v>
      </c>
      <c r="H6" s="11" t="s">
        <v>57</v>
      </c>
      <c r="I6" s="11" t="s">
        <v>56</v>
      </c>
      <c r="J6" s="11" t="s">
        <v>57</v>
      </c>
      <c r="N6" s="9"/>
      <c r="O6" s="9"/>
      <c r="P6" s="11" t="s">
        <v>56</v>
      </c>
      <c r="Q6" s="11" t="s">
        <v>57</v>
      </c>
      <c r="R6" s="11" t="s">
        <v>56</v>
      </c>
      <c r="S6" s="11" t="s">
        <v>57</v>
      </c>
      <c r="T6" s="11" t="s">
        <v>56</v>
      </c>
      <c r="U6" s="11" t="s">
        <v>57</v>
      </c>
    </row>
    <row r="7" spans="3:21" x14ac:dyDescent="0.3">
      <c r="C7" s="14" t="s">
        <v>54</v>
      </c>
      <c r="D7" s="15" t="s">
        <v>52</v>
      </c>
      <c r="E7" s="11">
        <v>26</v>
      </c>
      <c r="F7" s="15">
        <v>24</v>
      </c>
      <c r="G7" s="15">
        <v>29</v>
      </c>
      <c r="H7" s="15">
        <v>26</v>
      </c>
      <c r="I7" s="15">
        <v>30</v>
      </c>
      <c r="J7" s="15">
        <v>27</v>
      </c>
      <c r="N7" s="9" t="s">
        <v>54</v>
      </c>
      <c r="O7" s="11" t="s">
        <v>52</v>
      </c>
      <c r="P7" s="41">
        <v>48</v>
      </c>
      <c r="Q7" s="41">
        <v>51</v>
      </c>
      <c r="R7" s="11">
        <v>44</v>
      </c>
      <c r="S7" s="42">
        <v>44</v>
      </c>
      <c r="T7" s="42">
        <v>43</v>
      </c>
      <c r="U7" s="11">
        <v>47</v>
      </c>
    </row>
    <row r="8" spans="3:21" x14ac:dyDescent="0.3">
      <c r="C8" s="14"/>
      <c r="D8" s="15" t="s">
        <v>53</v>
      </c>
      <c r="E8" s="15">
        <v>27</v>
      </c>
      <c r="F8" s="15">
        <v>24</v>
      </c>
      <c r="G8" s="15">
        <v>28</v>
      </c>
      <c r="H8" s="15">
        <v>26</v>
      </c>
      <c r="I8" s="15">
        <v>28</v>
      </c>
      <c r="J8" s="15">
        <v>27</v>
      </c>
      <c r="N8" s="9"/>
      <c r="O8" s="11" t="s">
        <v>53</v>
      </c>
      <c r="P8" s="42">
        <v>38</v>
      </c>
      <c r="Q8" s="42">
        <v>31</v>
      </c>
      <c r="R8" s="42">
        <v>38</v>
      </c>
      <c r="S8" s="43">
        <v>46</v>
      </c>
      <c r="T8" s="41">
        <v>50</v>
      </c>
      <c r="U8" s="41">
        <v>46</v>
      </c>
    </row>
    <row r="9" spans="3:21" x14ac:dyDescent="0.3">
      <c r="C9" s="15" t="s">
        <v>55</v>
      </c>
      <c r="D9" s="15" t="s">
        <v>52</v>
      </c>
      <c r="E9" s="15">
        <v>27</v>
      </c>
      <c r="F9" s="15">
        <v>25</v>
      </c>
      <c r="G9" s="15">
        <v>27</v>
      </c>
      <c r="H9" s="15">
        <v>24</v>
      </c>
      <c r="I9" s="15">
        <v>30</v>
      </c>
      <c r="J9" s="15">
        <v>26</v>
      </c>
      <c r="N9" s="11" t="s">
        <v>55</v>
      </c>
      <c r="O9" s="11" t="s">
        <v>52</v>
      </c>
      <c r="P9" s="41">
        <v>53</v>
      </c>
      <c r="Q9" s="41">
        <v>50</v>
      </c>
      <c r="R9" s="42">
        <v>42</v>
      </c>
      <c r="S9" s="11">
        <v>49</v>
      </c>
      <c r="T9" s="11">
        <v>44</v>
      </c>
      <c r="U9" s="42">
        <v>43</v>
      </c>
    </row>
    <row r="10" spans="3:21" x14ac:dyDescent="0.3">
      <c r="C10" s="9" t="s">
        <v>71</v>
      </c>
      <c r="D10" s="9"/>
      <c r="E10" s="9"/>
      <c r="F10" s="9"/>
      <c r="G10" s="9"/>
      <c r="H10" s="9"/>
      <c r="I10" s="9"/>
      <c r="J10" s="9"/>
    </row>
    <row r="11" spans="3:21" x14ac:dyDescent="0.3">
      <c r="C11" s="14" t="s">
        <v>54</v>
      </c>
      <c r="D11" s="15" t="s">
        <v>52</v>
      </c>
      <c r="E11" s="37">
        <f>E7*100/P7</f>
        <v>54.166666666666664</v>
      </c>
      <c r="F11" s="37">
        <f t="shared" ref="F11:J13" si="0">F7*100/Q7</f>
        <v>47.058823529411768</v>
      </c>
      <c r="G11" s="37">
        <f t="shared" si="0"/>
        <v>65.909090909090907</v>
      </c>
      <c r="H11" s="37">
        <f t="shared" si="0"/>
        <v>59.090909090909093</v>
      </c>
      <c r="I11" s="40">
        <f t="shared" si="0"/>
        <v>69.767441860465112</v>
      </c>
      <c r="J11" s="37">
        <f t="shared" si="0"/>
        <v>57.446808510638299</v>
      </c>
    </row>
    <row r="12" spans="3:21" x14ac:dyDescent="0.3">
      <c r="C12" s="14"/>
      <c r="D12" s="15" t="s">
        <v>53</v>
      </c>
      <c r="E12" s="50">
        <f t="shared" ref="E12:E13" si="1">E8*100/P8</f>
        <v>71.05263157894737</v>
      </c>
      <c r="F12" s="50">
        <f t="shared" si="0"/>
        <v>77.41935483870968</v>
      </c>
      <c r="G12" s="50">
        <f t="shared" si="0"/>
        <v>73.684210526315795</v>
      </c>
      <c r="H12" s="37">
        <f t="shared" si="0"/>
        <v>56.521739130434781</v>
      </c>
      <c r="I12" s="40">
        <f t="shared" si="0"/>
        <v>56</v>
      </c>
      <c r="J12" s="37">
        <f t="shared" si="0"/>
        <v>58.695652173913047</v>
      </c>
    </row>
    <row r="13" spans="3:21" x14ac:dyDescent="0.3">
      <c r="C13" s="15" t="s">
        <v>55</v>
      </c>
      <c r="D13" s="15" t="s">
        <v>52</v>
      </c>
      <c r="E13" s="37">
        <f t="shared" si="1"/>
        <v>50.943396226415096</v>
      </c>
      <c r="F13" s="37">
        <f t="shared" si="0"/>
        <v>50</v>
      </c>
      <c r="G13" s="37">
        <f t="shared" si="0"/>
        <v>64.285714285714292</v>
      </c>
      <c r="H13" s="37">
        <f t="shared" si="0"/>
        <v>48.979591836734691</v>
      </c>
      <c r="I13" s="40">
        <f t="shared" si="0"/>
        <v>68.181818181818187</v>
      </c>
      <c r="J13" s="37">
        <f t="shared" si="0"/>
        <v>60.465116279069768</v>
      </c>
    </row>
  </sheetData>
  <mergeCells count="14">
    <mergeCell ref="C11:C12"/>
    <mergeCell ref="C10:J10"/>
    <mergeCell ref="N4:U4"/>
    <mergeCell ref="N5:O6"/>
    <mergeCell ref="P5:Q5"/>
    <mergeCell ref="R5:S5"/>
    <mergeCell ref="T5:U5"/>
    <mergeCell ref="N7:N8"/>
    <mergeCell ref="C4:J4"/>
    <mergeCell ref="C5:D6"/>
    <mergeCell ref="E5:F5"/>
    <mergeCell ref="G5:H5"/>
    <mergeCell ref="I5:J5"/>
    <mergeCell ref="C7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09CB-DE14-4711-8E96-A113C8792ED8}">
  <dimension ref="D3:K29"/>
  <sheetViews>
    <sheetView tabSelected="1" zoomScale="85" zoomScaleNormal="85" workbookViewId="0">
      <selection activeCell="O6" sqref="O6"/>
    </sheetView>
  </sheetViews>
  <sheetFormatPr defaultRowHeight="14.4" x14ac:dyDescent="0.3"/>
  <cols>
    <col min="4" max="4" width="14.44140625" bestFit="1" customWidth="1"/>
    <col min="6" max="11" width="9.5546875" bestFit="1" customWidth="1"/>
    <col min="13" max="13" width="10.21875" customWidth="1"/>
  </cols>
  <sheetData>
    <row r="3" spans="4:11" x14ac:dyDescent="0.3">
      <c r="D3" s="9" t="s">
        <v>72</v>
      </c>
      <c r="E3" s="9"/>
      <c r="F3" s="9"/>
      <c r="G3" s="9"/>
      <c r="H3" s="9"/>
      <c r="I3" s="9"/>
      <c r="J3" s="9"/>
      <c r="K3" s="9"/>
    </row>
    <row r="4" spans="4:11" x14ac:dyDescent="0.3">
      <c r="D4" s="9"/>
      <c r="E4" s="9"/>
      <c r="F4" s="9">
        <v>20</v>
      </c>
      <c r="G4" s="9"/>
      <c r="H4" s="9">
        <v>10</v>
      </c>
      <c r="I4" s="9"/>
      <c r="J4" s="9">
        <v>5</v>
      </c>
      <c r="K4" s="9"/>
    </row>
    <row r="5" spans="4:11" x14ac:dyDescent="0.3">
      <c r="D5" s="9"/>
      <c r="E5" s="9"/>
      <c r="F5" s="11" t="s">
        <v>56</v>
      </c>
      <c r="G5" s="11" t="s">
        <v>57</v>
      </c>
      <c r="H5" s="11" t="s">
        <v>56</v>
      </c>
      <c r="I5" s="11" t="s">
        <v>57</v>
      </c>
      <c r="J5" s="11" t="s">
        <v>56</v>
      </c>
      <c r="K5" s="11" t="s">
        <v>57</v>
      </c>
    </row>
    <row r="6" spans="4:11" x14ac:dyDescent="0.3">
      <c r="D6" s="51" t="s">
        <v>54</v>
      </c>
      <c r="E6" s="40" t="s">
        <v>52</v>
      </c>
      <c r="F6" s="37">
        <v>1.71828947368421</v>
      </c>
      <c r="G6" s="40">
        <v>2.5305394736842102</v>
      </c>
      <c r="H6" s="40">
        <v>1.5141315789473699</v>
      </c>
      <c r="I6" s="53">
        <v>0.94476315789473697</v>
      </c>
      <c r="J6" s="40">
        <v>1.2659210526315801</v>
      </c>
      <c r="K6" s="53">
        <v>1.13388157894737</v>
      </c>
    </row>
    <row r="7" spans="4:11" x14ac:dyDescent="0.3">
      <c r="D7" s="51"/>
      <c r="E7" s="40" t="s">
        <v>53</v>
      </c>
      <c r="F7" s="40">
        <v>1.4845263157894699</v>
      </c>
      <c r="G7" s="40">
        <v>1.5401842105263199</v>
      </c>
      <c r="H7" s="40">
        <v>1.4845263157894699</v>
      </c>
      <c r="I7" s="40">
        <v>1.5401842105263199</v>
      </c>
      <c r="J7" s="40">
        <v>1.2898421052631599</v>
      </c>
      <c r="K7" s="40">
        <v>1.44473684210526</v>
      </c>
    </row>
    <row r="8" spans="4:11" x14ac:dyDescent="0.3">
      <c r="D8" s="40" t="s">
        <v>55</v>
      </c>
      <c r="E8" s="40" t="s">
        <v>52</v>
      </c>
      <c r="F8" s="53">
        <v>1.39784210526316</v>
      </c>
      <c r="G8" s="53">
        <v>1.43313157894737</v>
      </c>
      <c r="H8" s="53">
        <v>1.2284999999999999</v>
      </c>
      <c r="I8" s="40">
        <v>1.1264210526315801</v>
      </c>
      <c r="J8" s="53">
        <v>1.21760526315789</v>
      </c>
      <c r="K8" s="40">
        <v>1.2789473684210499</v>
      </c>
    </row>
    <row r="9" spans="4:11" x14ac:dyDescent="0.3">
      <c r="D9" s="12"/>
      <c r="E9" s="12"/>
      <c r="F9" s="12"/>
      <c r="G9" s="12"/>
      <c r="H9" s="12"/>
      <c r="I9" s="12"/>
      <c r="J9" s="12"/>
      <c r="K9" s="12"/>
    </row>
    <row r="10" spans="4:11" x14ac:dyDescent="0.3">
      <c r="D10" s="52" t="s">
        <v>73</v>
      </c>
      <c r="E10" s="52"/>
      <c r="F10" s="52"/>
      <c r="G10" s="52"/>
      <c r="H10" s="52"/>
      <c r="I10" s="52"/>
      <c r="J10" s="52"/>
      <c r="K10" s="52"/>
    </row>
    <row r="11" spans="4:11" x14ac:dyDescent="0.3">
      <c r="D11" s="52"/>
      <c r="E11" s="52"/>
      <c r="F11" s="52">
        <v>20</v>
      </c>
      <c r="G11" s="52"/>
      <c r="H11" s="52">
        <v>10</v>
      </c>
      <c r="I11" s="52"/>
      <c r="J11" s="52">
        <v>5</v>
      </c>
      <c r="K11" s="52"/>
    </row>
    <row r="12" spans="4:11" x14ac:dyDescent="0.3">
      <c r="D12" s="52"/>
      <c r="E12" s="52"/>
      <c r="F12" s="37" t="s">
        <v>56</v>
      </c>
      <c r="G12" s="37" t="s">
        <v>57</v>
      </c>
      <c r="H12" s="37" t="s">
        <v>56</v>
      </c>
      <c r="I12" s="37" t="s">
        <v>57</v>
      </c>
      <c r="J12" s="37" t="s">
        <v>56</v>
      </c>
      <c r="K12" s="37" t="s">
        <v>57</v>
      </c>
    </row>
    <row r="13" spans="4:11" x14ac:dyDescent="0.3">
      <c r="D13" s="51" t="s">
        <v>54</v>
      </c>
      <c r="E13" s="40" t="s">
        <v>52</v>
      </c>
      <c r="F13" s="37">
        <v>0.75821369238101899</v>
      </c>
      <c r="G13" s="40">
        <v>1.1130798653610801</v>
      </c>
      <c r="H13" s="40">
        <v>0.33810893351800902</v>
      </c>
      <c r="I13" s="40">
        <v>0.29656071129415001</v>
      </c>
      <c r="J13" s="40">
        <v>0.13806397283531299</v>
      </c>
      <c r="K13" s="53">
        <v>8.3745676691729304E-2</v>
      </c>
    </row>
    <row r="14" spans="4:11" x14ac:dyDescent="0.3">
      <c r="D14" s="51"/>
      <c r="E14" s="40" t="s">
        <v>53</v>
      </c>
      <c r="F14" s="40">
        <v>1.0116874915437699</v>
      </c>
      <c r="G14" s="40">
        <v>1.8023500848896401</v>
      </c>
      <c r="H14" s="40">
        <v>0.36666168862523402</v>
      </c>
      <c r="I14" s="40">
        <v>0.441582003729797</v>
      </c>
      <c r="J14" s="40">
        <v>0.164410485673644</v>
      </c>
      <c r="K14" s="40">
        <v>0.119941908572979</v>
      </c>
    </row>
    <row r="15" spans="4:11" x14ac:dyDescent="0.3">
      <c r="D15" s="40" t="s">
        <v>55</v>
      </c>
      <c r="E15" s="40" t="s">
        <v>52</v>
      </c>
      <c r="F15" s="53">
        <v>0.56618257218923196</v>
      </c>
      <c r="G15" s="53">
        <v>0.69040994265820199</v>
      </c>
      <c r="H15" s="53">
        <v>0.28412445820433502</v>
      </c>
      <c r="I15" s="53">
        <v>0.28909239576213203</v>
      </c>
      <c r="J15" s="53">
        <v>9.9741873065014905E-2</v>
      </c>
      <c r="K15" s="40">
        <v>0.11303274889810699</v>
      </c>
    </row>
    <row r="17" spans="4:11" x14ac:dyDescent="0.3">
      <c r="D17" s="9" t="s">
        <v>74</v>
      </c>
      <c r="E17" s="9"/>
      <c r="F17" s="9"/>
      <c r="G17" s="9"/>
      <c r="H17" s="9"/>
      <c r="I17" s="9"/>
      <c r="J17" s="9"/>
      <c r="K17" s="9"/>
    </row>
    <row r="18" spans="4:11" x14ac:dyDescent="0.3">
      <c r="D18" s="9"/>
      <c r="E18" s="9"/>
      <c r="F18" s="9">
        <v>20</v>
      </c>
      <c r="G18" s="9"/>
      <c r="H18" s="9">
        <v>10</v>
      </c>
      <c r="I18" s="9"/>
      <c r="J18" s="9">
        <v>5</v>
      </c>
      <c r="K18" s="9"/>
    </row>
    <row r="19" spans="4:11" x14ac:dyDescent="0.3">
      <c r="D19" s="9"/>
      <c r="E19" s="9"/>
      <c r="F19" s="11" t="s">
        <v>56</v>
      </c>
      <c r="G19" s="11" t="s">
        <v>57</v>
      </c>
      <c r="H19" s="11" t="s">
        <v>56</v>
      </c>
      <c r="I19" s="11" t="s">
        <v>57</v>
      </c>
      <c r="J19" s="11" t="s">
        <v>56</v>
      </c>
      <c r="K19" s="11" t="s">
        <v>57</v>
      </c>
    </row>
    <row r="20" spans="4:11" x14ac:dyDescent="0.3">
      <c r="D20" s="51" t="s">
        <v>54</v>
      </c>
      <c r="E20" s="40" t="s">
        <v>52</v>
      </c>
      <c r="F20" s="54">
        <v>67.012746710526301</v>
      </c>
      <c r="G20" s="54">
        <v>67.007606907894697</v>
      </c>
      <c r="H20" s="10">
        <v>62.286698190789501</v>
      </c>
      <c r="I20" s="10">
        <v>45.052939967105303</v>
      </c>
      <c r="J20" s="10">
        <v>50.310958059210499</v>
      </c>
      <c r="K20" s="10">
        <v>51.385176809210499</v>
      </c>
    </row>
    <row r="21" spans="4:11" x14ac:dyDescent="0.3">
      <c r="D21" s="51"/>
      <c r="E21" s="40" t="s">
        <v>53</v>
      </c>
      <c r="F21" s="54">
        <v>81.692023026315795</v>
      </c>
      <c r="G21" s="54">
        <v>96.052631578947398</v>
      </c>
      <c r="H21" s="10">
        <v>62.150493421052602</v>
      </c>
      <c r="I21" s="10">
        <v>62.947162828947398</v>
      </c>
      <c r="J21" s="10">
        <v>52.464535361842103</v>
      </c>
      <c r="K21" s="10">
        <v>62.428042763157897</v>
      </c>
    </row>
    <row r="22" spans="4:11" x14ac:dyDescent="0.3">
      <c r="D22" s="40" t="s">
        <v>55</v>
      </c>
      <c r="E22" s="40" t="s">
        <v>52</v>
      </c>
      <c r="F22" s="54">
        <v>57.465563322368403</v>
      </c>
      <c r="G22" s="54">
        <v>56.463301809210499</v>
      </c>
      <c r="H22" s="10">
        <v>52.814041940789501</v>
      </c>
      <c r="I22" s="10">
        <v>54.417660361842103</v>
      </c>
      <c r="J22" s="10">
        <v>51.559930098684198</v>
      </c>
      <c r="K22" s="10">
        <v>55.550986842105303</v>
      </c>
    </row>
    <row r="24" spans="4:11" x14ac:dyDescent="0.3">
      <c r="D24" s="9" t="s">
        <v>75</v>
      </c>
      <c r="E24" s="9"/>
      <c r="F24" s="9"/>
      <c r="G24" s="9"/>
      <c r="H24" s="9"/>
      <c r="I24" s="9"/>
      <c r="J24" s="9"/>
      <c r="K24" s="9"/>
    </row>
    <row r="25" spans="4:11" x14ac:dyDescent="0.3">
      <c r="D25" s="9"/>
      <c r="E25" s="9"/>
      <c r="F25" s="9">
        <v>20</v>
      </c>
      <c r="G25" s="9"/>
      <c r="H25" s="9">
        <v>10</v>
      </c>
      <c r="I25" s="9"/>
      <c r="J25" s="9">
        <v>5</v>
      </c>
      <c r="K25" s="9"/>
    </row>
    <row r="26" spans="4:11" x14ac:dyDescent="0.3">
      <c r="D26" s="9"/>
      <c r="E26" s="9"/>
      <c r="F26" s="11" t="s">
        <v>56</v>
      </c>
      <c r="G26" s="11" t="s">
        <v>57</v>
      </c>
      <c r="H26" s="11" t="s">
        <v>56</v>
      </c>
      <c r="I26" s="11" t="s">
        <v>57</v>
      </c>
      <c r="J26" s="11" t="s">
        <v>56</v>
      </c>
      <c r="K26" s="11" t="s">
        <v>57</v>
      </c>
    </row>
    <row r="27" spans="4:11" x14ac:dyDescent="0.3">
      <c r="D27" s="51" t="s">
        <v>54</v>
      </c>
      <c r="E27" s="40" t="s">
        <v>52</v>
      </c>
      <c r="F27" s="54">
        <v>24.708041922703799</v>
      </c>
      <c r="G27" s="54">
        <v>33.242726050379098</v>
      </c>
      <c r="H27" s="10">
        <v>14.4036104408329</v>
      </c>
      <c r="I27" s="10">
        <v>13.4917092393201</v>
      </c>
      <c r="J27" s="10">
        <v>8.9708457130730199</v>
      </c>
      <c r="K27" s="10">
        <v>6.8773963495386301</v>
      </c>
    </row>
    <row r="28" spans="4:11" x14ac:dyDescent="0.3">
      <c r="D28" s="51"/>
      <c r="E28" s="40" t="s">
        <v>53</v>
      </c>
      <c r="F28" s="54">
        <v>32.073881293549597</v>
      </c>
      <c r="G28" s="54">
        <v>48.666343909167999</v>
      </c>
      <c r="H28" s="10">
        <v>15.458842238911499</v>
      </c>
      <c r="I28" s="10">
        <v>17.533617142172599</v>
      </c>
      <c r="J28" s="10">
        <v>8.9568072683820894</v>
      </c>
      <c r="K28" s="10">
        <v>8.1654706469580898</v>
      </c>
    </row>
    <row r="29" spans="4:11" x14ac:dyDescent="0.3">
      <c r="D29" s="40" t="s">
        <v>55</v>
      </c>
      <c r="E29" s="40" t="s">
        <v>52</v>
      </c>
      <c r="F29" s="54">
        <v>19.7268758213018</v>
      </c>
      <c r="G29" s="54">
        <v>26.217033265922598</v>
      </c>
      <c r="H29" s="10">
        <v>12.553044106897101</v>
      </c>
      <c r="I29" s="10">
        <v>15.1992841656698</v>
      </c>
      <c r="J29" s="10">
        <v>6.9327245186725897</v>
      </c>
      <c r="K29" s="10">
        <v>8.3371649760176201</v>
      </c>
    </row>
  </sheetData>
  <mergeCells count="24">
    <mergeCell ref="D24:K24"/>
    <mergeCell ref="D25:E26"/>
    <mergeCell ref="F25:G25"/>
    <mergeCell ref="H25:I25"/>
    <mergeCell ref="J25:K25"/>
    <mergeCell ref="D27:D28"/>
    <mergeCell ref="D17:K17"/>
    <mergeCell ref="D18:E19"/>
    <mergeCell ref="F18:G18"/>
    <mergeCell ref="H18:I18"/>
    <mergeCell ref="J18:K18"/>
    <mergeCell ref="D20:D21"/>
    <mergeCell ref="D10:K10"/>
    <mergeCell ref="D11:E12"/>
    <mergeCell ref="F11:G11"/>
    <mergeCell ref="H11:I11"/>
    <mergeCell ref="J11:K11"/>
    <mergeCell ref="D13:D14"/>
    <mergeCell ref="D3:K3"/>
    <mergeCell ref="D4:E5"/>
    <mergeCell ref="F4:G4"/>
    <mergeCell ref="H4:I4"/>
    <mergeCell ref="J4:K4"/>
    <mergeCell ref="D6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E52B-F67A-468B-89AF-8DC7FEE13F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</vt:lpstr>
      <vt:lpstr>Analisis entre pretensiones</vt:lpstr>
      <vt:lpstr>Analisis entre configuraciones</vt:lpstr>
      <vt:lpstr>Tendon</vt:lpstr>
      <vt:lpstr>Motor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biomt</dc:creator>
  <cp:lastModifiedBy>biomt</cp:lastModifiedBy>
  <dcterms:created xsi:type="dcterms:W3CDTF">2020-02-13T01:04:47Z</dcterms:created>
  <dcterms:modified xsi:type="dcterms:W3CDTF">2020-02-13T09:05:22Z</dcterms:modified>
</cp:coreProperties>
</file>