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30"/>
  <workbookPr filterPrivacy="1" defaultThemeVersion="202300"/>
  <xr:revisionPtr revIDLastSave="0" documentId="13_ncr:1_{FD0A6646-720D-4A63-AE0F-7B7ACF74E3B0}" xr6:coauthVersionLast="47" xr6:coauthVersionMax="47" xr10:uidLastSave="{00000000-0000-0000-0000-000000000000}"/>
  <bookViews>
    <workbookView xWindow="-5510" yWindow="-10910" windowWidth="19420" windowHeight="11020" xr2:uid="{008D107A-691A-4388-9106-71021DEBC154}"/>
  </bookViews>
  <sheets>
    <sheet name="Model" sheetId="5" r:id="rId1"/>
    <sheet name="IS" sheetId="1" r:id="rId2"/>
    <sheet name="BS" sheetId="2" r:id="rId3"/>
    <sheet name="C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6" i="5" l="1"/>
  <c r="G76" i="5"/>
  <c r="E52" i="5"/>
  <c r="F52" i="5"/>
  <c r="D52" i="5"/>
  <c r="E50" i="5"/>
  <c r="F50" i="5"/>
  <c r="D50" i="5"/>
  <c r="H59" i="5"/>
  <c r="I59" i="5"/>
  <c r="J59" i="5"/>
  <c r="K59" i="5"/>
  <c r="G59" i="5"/>
  <c r="H128" i="5"/>
  <c r="I128" i="5"/>
  <c r="J128" i="5"/>
  <c r="K128" i="5"/>
  <c r="G128" i="5"/>
  <c r="F38" i="5"/>
  <c r="G9" i="5"/>
  <c r="H9" i="5" s="1"/>
  <c r="F10" i="5"/>
  <c r="E10" i="5"/>
  <c r="D2" i="5"/>
  <c r="E120" i="5"/>
  <c r="F120" i="5"/>
  <c r="E121" i="5"/>
  <c r="F121" i="5"/>
  <c r="E122" i="5"/>
  <c r="F122" i="5"/>
  <c r="E127" i="5"/>
  <c r="F127" i="5"/>
  <c r="E128" i="5"/>
  <c r="E35" i="5" s="1"/>
  <c r="F128" i="5"/>
  <c r="F35" i="5" s="1"/>
  <c r="E133" i="5"/>
  <c r="F133" i="5"/>
  <c r="E134" i="5"/>
  <c r="F134" i="5"/>
  <c r="E135" i="5"/>
  <c r="F135" i="5"/>
  <c r="E136" i="5"/>
  <c r="F136" i="5"/>
  <c r="E137" i="5"/>
  <c r="F137" i="5"/>
  <c r="E140" i="5"/>
  <c r="F140" i="5"/>
  <c r="D140" i="5"/>
  <c r="D137" i="5"/>
  <c r="D136" i="5"/>
  <c r="D135" i="5"/>
  <c r="D134" i="5"/>
  <c r="D133" i="5"/>
  <c r="D128" i="5"/>
  <c r="D35" i="5" s="1"/>
  <c r="D127" i="5"/>
  <c r="D122" i="5"/>
  <c r="D121" i="5"/>
  <c r="D120" i="5"/>
  <c r="D115" i="5"/>
  <c r="E89" i="5"/>
  <c r="F89" i="5"/>
  <c r="E90" i="5"/>
  <c r="F90" i="5"/>
  <c r="E91" i="5"/>
  <c r="F91" i="5"/>
  <c r="E92" i="5"/>
  <c r="F92" i="5"/>
  <c r="E93" i="5"/>
  <c r="E24" i="5" s="1"/>
  <c r="F93" i="5"/>
  <c r="E94" i="5"/>
  <c r="F94" i="5"/>
  <c r="E98" i="5"/>
  <c r="F98" i="5"/>
  <c r="E99" i="5"/>
  <c r="F99" i="5"/>
  <c r="E100" i="5"/>
  <c r="F100" i="5"/>
  <c r="E101" i="5"/>
  <c r="F101" i="5"/>
  <c r="E102" i="5"/>
  <c r="F102" i="5"/>
  <c r="E103" i="5"/>
  <c r="F103" i="5"/>
  <c r="E106" i="5"/>
  <c r="F106" i="5"/>
  <c r="E107" i="5"/>
  <c r="F107" i="5"/>
  <c r="D107" i="5"/>
  <c r="D106" i="5"/>
  <c r="D103" i="5"/>
  <c r="D102" i="5"/>
  <c r="D101" i="5"/>
  <c r="D100" i="5"/>
  <c r="D99" i="5"/>
  <c r="D98" i="5"/>
  <c r="D94" i="5"/>
  <c r="D93" i="5"/>
  <c r="D92" i="5"/>
  <c r="D91" i="5"/>
  <c r="D90" i="5"/>
  <c r="D89" i="5"/>
  <c r="D86" i="5"/>
  <c r="E58" i="5"/>
  <c r="E4" i="5" s="1"/>
  <c r="F58" i="5"/>
  <c r="F4" i="5" s="1"/>
  <c r="E59" i="5"/>
  <c r="E12" i="5" s="1"/>
  <c r="F59" i="5"/>
  <c r="F12" i="5" s="1"/>
  <c r="E62" i="5"/>
  <c r="E15" i="5" s="1"/>
  <c r="F62" i="5"/>
  <c r="F15" i="5" s="1"/>
  <c r="E63" i="5"/>
  <c r="E16" i="5" s="1"/>
  <c r="F63" i="5"/>
  <c r="F16" i="5" s="1"/>
  <c r="E69" i="5"/>
  <c r="F69" i="5"/>
  <c r="E72" i="5"/>
  <c r="F72" i="5"/>
  <c r="E75" i="5"/>
  <c r="F75" i="5"/>
  <c r="E76" i="5"/>
  <c r="F76" i="5"/>
  <c r="E79" i="5"/>
  <c r="F79" i="5"/>
  <c r="E82" i="5"/>
  <c r="E119" i="5" s="1"/>
  <c r="F82" i="5"/>
  <c r="F119" i="5" s="1"/>
  <c r="D82" i="5"/>
  <c r="D119" i="5" s="1"/>
  <c r="D79" i="5"/>
  <c r="D76" i="5"/>
  <c r="D75" i="5"/>
  <c r="D72" i="5"/>
  <c r="D69" i="5"/>
  <c r="D63" i="5"/>
  <c r="D62" i="5"/>
  <c r="D59" i="5"/>
  <c r="D12" i="5" s="1"/>
  <c r="D58" i="5"/>
  <c r="D4" i="5" s="1"/>
  <c r="E56" i="5"/>
  <c r="F56" i="5" s="1"/>
  <c r="G56" i="5" s="1"/>
  <c r="H56" i="5" s="1"/>
  <c r="I56" i="5" s="1"/>
  <c r="J56" i="5" s="1"/>
  <c r="K56" i="5" s="1"/>
  <c r="K86" i="5" s="1"/>
  <c r="D38" i="5" l="1"/>
  <c r="E38" i="5"/>
  <c r="G38" i="5" s="1"/>
  <c r="D24" i="5"/>
  <c r="F24" i="5"/>
  <c r="D16" i="5"/>
  <c r="G16" i="5" s="1"/>
  <c r="J16" i="5" s="1"/>
  <c r="D15" i="5"/>
  <c r="G15" i="5" s="1"/>
  <c r="H15" i="5" s="1"/>
  <c r="G72" i="5"/>
  <c r="I72" i="5" s="1"/>
  <c r="G75" i="5"/>
  <c r="H75" i="5" s="1"/>
  <c r="E13" i="5"/>
  <c r="F13" i="5"/>
  <c r="F2" i="5"/>
  <c r="F129" i="5"/>
  <c r="J2" i="5"/>
  <c r="G4" i="5"/>
  <c r="H4" i="5" s="1"/>
  <c r="F5" i="5"/>
  <c r="E5" i="5"/>
  <c r="I9" i="5"/>
  <c r="H2" i="5"/>
  <c r="G12" i="5"/>
  <c r="H12" i="5" s="1"/>
  <c r="I12" i="5" s="1"/>
  <c r="J12" i="5" s="1"/>
  <c r="K12" i="5" s="1"/>
  <c r="G2" i="5"/>
  <c r="K2" i="5"/>
  <c r="E2" i="5"/>
  <c r="I2" i="5"/>
  <c r="F104" i="5"/>
  <c r="E138" i="5"/>
  <c r="E104" i="5"/>
  <c r="E95" i="5"/>
  <c r="D64" i="5"/>
  <c r="D27" i="5" s="1"/>
  <c r="E60" i="5"/>
  <c r="E40" i="5" s="1"/>
  <c r="D95" i="5"/>
  <c r="D104" i="5"/>
  <c r="D108" i="5"/>
  <c r="D138" i="5"/>
  <c r="I115" i="5"/>
  <c r="F108" i="5"/>
  <c r="F115" i="5"/>
  <c r="J115" i="5"/>
  <c r="D129" i="5"/>
  <c r="E129" i="5"/>
  <c r="F95" i="5"/>
  <c r="H115" i="5"/>
  <c r="E115" i="5"/>
  <c r="E108" i="5"/>
  <c r="G115" i="5"/>
  <c r="K115" i="5"/>
  <c r="F138" i="5"/>
  <c r="F60" i="5"/>
  <c r="D60" i="5"/>
  <c r="F64" i="5"/>
  <c r="F29" i="5" s="1"/>
  <c r="E64" i="5"/>
  <c r="E26" i="5" s="1"/>
  <c r="J86" i="5"/>
  <c r="F86" i="5"/>
  <c r="E86" i="5"/>
  <c r="H86" i="5"/>
  <c r="I86" i="5"/>
  <c r="G86" i="5"/>
  <c r="K38" i="5" l="1"/>
  <c r="H38" i="5"/>
  <c r="J38" i="5"/>
  <c r="I38" i="5"/>
  <c r="E31" i="5"/>
  <c r="D31" i="5"/>
  <c r="D40" i="5"/>
  <c r="F33" i="5"/>
  <c r="F40" i="5"/>
  <c r="G24" i="5"/>
  <c r="J24" i="5" s="1"/>
  <c r="E32" i="5"/>
  <c r="D33" i="5"/>
  <c r="E17" i="5"/>
  <c r="E33" i="5"/>
  <c r="F17" i="5"/>
  <c r="F32" i="5"/>
  <c r="D66" i="5"/>
  <c r="D70" i="5" s="1"/>
  <c r="D73" i="5" s="1"/>
  <c r="D77" i="5" s="1"/>
  <c r="D81" i="5" s="1"/>
  <c r="D37" i="5" s="1"/>
  <c r="D32" i="5"/>
  <c r="F31" i="5"/>
  <c r="G31" i="5" s="1"/>
  <c r="H72" i="5"/>
  <c r="K72" i="5"/>
  <c r="H16" i="5"/>
  <c r="H24" i="5"/>
  <c r="E28" i="5"/>
  <c r="K16" i="5"/>
  <c r="K15" i="5"/>
  <c r="I15" i="5"/>
  <c r="I24" i="5"/>
  <c r="E27" i="5"/>
  <c r="J15" i="5"/>
  <c r="E29" i="5"/>
  <c r="D26" i="5"/>
  <c r="D22" i="5"/>
  <c r="F23" i="5"/>
  <c r="F26" i="5"/>
  <c r="F28" i="5"/>
  <c r="J72" i="5"/>
  <c r="I16" i="5"/>
  <c r="F22" i="5"/>
  <c r="E23" i="5"/>
  <c r="D29" i="5"/>
  <c r="D28" i="5"/>
  <c r="D23" i="5"/>
  <c r="J75" i="5"/>
  <c r="E22" i="5"/>
  <c r="F27" i="5"/>
  <c r="I75" i="5"/>
  <c r="K75" i="5"/>
  <c r="D83" i="5"/>
  <c r="D118" i="5" s="1"/>
  <c r="D123" i="5" s="1"/>
  <c r="D142" i="5" s="1"/>
  <c r="G58" i="5"/>
  <c r="G62" i="5" s="1"/>
  <c r="E66" i="5"/>
  <c r="E67" i="5" s="1"/>
  <c r="D17" i="5"/>
  <c r="J9" i="5"/>
  <c r="E110" i="5"/>
  <c r="E112" i="5" s="1"/>
  <c r="I4" i="5"/>
  <c r="H58" i="5"/>
  <c r="F110" i="5"/>
  <c r="F112" i="5" s="1"/>
  <c r="D110" i="5"/>
  <c r="D112" i="5" s="1"/>
  <c r="F66" i="5"/>
  <c r="F70" i="5" s="1"/>
  <c r="F73" i="5" s="1"/>
  <c r="F77" i="5" s="1"/>
  <c r="K24" i="5" l="1"/>
  <c r="G32" i="5"/>
  <c r="K32" i="5" s="1"/>
  <c r="G33" i="5"/>
  <c r="I33" i="5" s="1"/>
  <c r="D19" i="5"/>
  <c r="K31" i="5"/>
  <c r="H31" i="5"/>
  <c r="I31" i="5"/>
  <c r="J31" i="5"/>
  <c r="D67" i="5"/>
  <c r="G17" i="5"/>
  <c r="J17" i="5" s="1"/>
  <c r="D20" i="5"/>
  <c r="G27" i="5"/>
  <c r="I27" i="5" s="1"/>
  <c r="H63" i="5"/>
  <c r="G29" i="5"/>
  <c r="H29" i="5" s="1"/>
  <c r="I63" i="5"/>
  <c r="G22" i="5"/>
  <c r="G26" i="5"/>
  <c r="G28" i="5"/>
  <c r="G23" i="5"/>
  <c r="E70" i="5"/>
  <c r="E73" i="5" s="1"/>
  <c r="E77" i="5" s="1"/>
  <c r="E81" i="5" s="1"/>
  <c r="E37" i="5" s="1"/>
  <c r="F81" i="5"/>
  <c r="F37" i="5" s="1"/>
  <c r="F19" i="5"/>
  <c r="H60" i="5"/>
  <c r="H62" i="5"/>
  <c r="G60" i="5"/>
  <c r="G140" i="5" s="1"/>
  <c r="G63" i="5"/>
  <c r="G64" i="5" s="1"/>
  <c r="K9" i="5"/>
  <c r="K63" i="5" s="1"/>
  <c r="J63" i="5"/>
  <c r="J4" i="5"/>
  <c r="I58" i="5"/>
  <c r="F67" i="5"/>
  <c r="J32" i="5" l="1"/>
  <c r="K17" i="5"/>
  <c r="H32" i="5"/>
  <c r="H64" i="5"/>
  <c r="H66" i="5" s="1"/>
  <c r="H67" i="5" s="1"/>
  <c r="I32" i="5"/>
  <c r="H33" i="5"/>
  <c r="H121" i="5" s="1"/>
  <c r="H17" i="5"/>
  <c r="H69" i="5" s="1"/>
  <c r="J33" i="5"/>
  <c r="K33" i="5"/>
  <c r="K27" i="5"/>
  <c r="I17" i="5"/>
  <c r="H120" i="5"/>
  <c r="H127" i="5"/>
  <c r="H129" i="5" s="1"/>
  <c r="H140" i="5"/>
  <c r="I29" i="5"/>
  <c r="G127" i="5"/>
  <c r="G121" i="5"/>
  <c r="G94" i="5" s="1"/>
  <c r="G120" i="5"/>
  <c r="J27" i="5"/>
  <c r="H27" i="5"/>
  <c r="J29" i="5"/>
  <c r="K29" i="5"/>
  <c r="E19" i="5"/>
  <c r="G19" i="5" s="1"/>
  <c r="I19" i="5" s="1"/>
  <c r="J23" i="5"/>
  <c r="I23" i="5"/>
  <c r="H23" i="5"/>
  <c r="K23" i="5"/>
  <c r="K28" i="5"/>
  <c r="I28" i="5"/>
  <c r="J28" i="5"/>
  <c r="H28" i="5"/>
  <c r="K26" i="5"/>
  <c r="J26" i="5"/>
  <c r="I26" i="5"/>
  <c r="H26" i="5"/>
  <c r="G69" i="5"/>
  <c r="G90" i="5"/>
  <c r="G98" i="5"/>
  <c r="G91" i="5"/>
  <c r="I22" i="5"/>
  <c r="K22" i="5"/>
  <c r="H22" i="5"/>
  <c r="H90" i="5" s="1"/>
  <c r="J22" i="5"/>
  <c r="G66" i="5"/>
  <c r="G70" i="5" s="1"/>
  <c r="G73" i="5" s="1"/>
  <c r="G77" i="5" s="1"/>
  <c r="F83" i="5"/>
  <c r="F118" i="5" s="1"/>
  <c r="F123" i="5" s="1"/>
  <c r="F142" i="5" s="1"/>
  <c r="F20" i="5"/>
  <c r="E83" i="5"/>
  <c r="E118" i="5" s="1"/>
  <c r="E123" i="5" s="1"/>
  <c r="E142" i="5" s="1"/>
  <c r="E20" i="5"/>
  <c r="I60" i="5"/>
  <c r="I62" i="5"/>
  <c r="I64" i="5" s="1"/>
  <c r="K4" i="5"/>
  <c r="K58" i="5" s="1"/>
  <c r="J58" i="5"/>
  <c r="H98" i="5" l="1"/>
  <c r="H91" i="5"/>
  <c r="H94" i="5"/>
  <c r="G129" i="5"/>
  <c r="G92" i="5"/>
  <c r="H92" i="5" s="1"/>
  <c r="I127" i="5"/>
  <c r="I129" i="5" s="1"/>
  <c r="I140" i="5"/>
  <c r="I120" i="5"/>
  <c r="I121" i="5"/>
  <c r="K19" i="5"/>
  <c r="H19" i="5"/>
  <c r="J19" i="5"/>
  <c r="I69" i="5"/>
  <c r="I90" i="5"/>
  <c r="G67" i="5"/>
  <c r="H93" i="5"/>
  <c r="H99" i="5"/>
  <c r="H100" i="5"/>
  <c r="H103" i="5"/>
  <c r="G103" i="5"/>
  <c r="G93" i="5"/>
  <c r="G102" i="5" s="1"/>
  <c r="G100" i="5"/>
  <c r="G99" i="5"/>
  <c r="I91" i="5"/>
  <c r="I98" i="5"/>
  <c r="H70" i="5"/>
  <c r="H73" i="5" s="1"/>
  <c r="H77" i="5" s="1"/>
  <c r="G20" i="5"/>
  <c r="J20" i="5" s="1"/>
  <c r="I66" i="5"/>
  <c r="J60" i="5"/>
  <c r="J62" i="5"/>
  <c r="J64" i="5" s="1"/>
  <c r="K60" i="5"/>
  <c r="K62" i="5"/>
  <c r="K64" i="5" s="1"/>
  <c r="G79" i="5"/>
  <c r="G81" i="5" s="1"/>
  <c r="G134" i="5" s="1"/>
  <c r="I94" i="5" l="1"/>
  <c r="I92" i="5"/>
  <c r="K120" i="5"/>
  <c r="K121" i="5"/>
  <c r="K127" i="5"/>
  <c r="K129" i="5" s="1"/>
  <c r="K140" i="5"/>
  <c r="J120" i="5"/>
  <c r="J121" i="5"/>
  <c r="J127" i="5"/>
  <c r="J129" i="5" s="1"/>
  <c r="J140" i="5"/>
  <c r="H79" i="5"/>
  <c r="H81" i="5" s="1"/>
  <c r="H134" i="5" s="1"/>
  <c r="G122" i="5"/>
  <c r="H20" i="5"/>
  <c r="I20" i="5"/>
  <c r="I70" i="5"/>
  <c r="I73" i="5" s="1"/>
  <c r="J66" i="5"/>
  <c r="J67" i="5" s="1"/>
  <c r="J91" i="5"/>
  <c r="J98" i="5"/>
  <c r="H102" i="5"/>
  <c r="K20" i="5"/>
  <c r="J69" i="5"/>
  <c r="J90" i="5"/>
  <c r="I93" i="5"/>
  <c r="I99" i="5"/>
  <c r="I100" i="5"/>
  <c r="I103" i="5"/>
  <c r="K69" i="5"/>
  <c r="K90" i="5"/>
  <c r="K91" i="5"/>
  <c r="K98" i="5"/>
  <c r="I67" i="5"/>
  <c r="G82" i="5"/>
  <c r="G119" i="5" s="1"/>
  <c r="K66" i="5"/>
  <c r="J94" i="5" l="1"/>
  <c r="K94" i="5" s="1"/>
  <c r="H82" i="5"/>
  <c r="H136" i="5" s="1"/>
  <c r="J92" i="5"/>
  <c r="K92" i="5" s="1"/>
  <c r="H122" i="5"/>
  <c r="G83" i="5"/>
  <c r="G118" i="5" s="1"/>
  <c r="G136" i="5"/>
  <c r="J70" i="5"/>
  <c r="J73" i="5" s="1"/>
  <c r="K93" i="5"/>
  <c r="K99" i="5"/>
  <c r="K100" i="5"/>
  <c r="K103" i="5"/>
  <c r="I102" i="5"/>
  <c r="I122" i="5" s="1"/>
  <c r="J93" i="5"/>
  <c r="J99" i="5"/>
  <c r="J100" i="5"/>
  <c r="J103" i="5"/>
  <c r="K67" i="5"/>
  <c r="K70" i="5"/>
  <c r="K73" i="5" s="1"/>
  <c r="H119" i="5" l="1"/>
  <c r="H83" i="5"/>
  <c r="H118" i="5" s="1"/>
  <c r="H123" i="5"/>
  <c r="G107" i="5"/>
  <c r="H107" i="5" s="1"/>
  <c r="G123" i="5"/>
  <c r="G43" i="5" s="1"/>
  <c r="J102" i="5"/>
  <c r="K102" i="5" s="1"/>
  <c r="G47" i="5" l="1"/>
  <c r="G133" i="5" s="1"/>
  <c r="G48" i="5"/>
  <c r="G135" i="5" s="1"/>
  <c r="K122" i="5"/>
  <c r="J122" i="5"/>
  <c r="G137" i="5" l="1"/>
  <c r="G106" i="5" s="1"/>
  <c r="G108" i="5" s="1"/>
  <c r="G110" i="5" s="1"/>
  <c r="G101" i="5"/>
  <c r="G104" i="5" s="1"/>
  <c r="G138" i="5"/>
  <c r="G142" i="5" s="1"/>
  <c r="G89" i="5" s="1"/>
  <c r="H43" i="5" s="1"/>
  <c r="H47" i="5" s="1"/>
  <c r="H133" i="5" s="1"/>
  <c r="H137" i="5" s="1"/>
  <c r="G95" i="5" l="1"/>
  <c r="G112" i="5" s="1"/>
  <c r="H48" i="5"/>
  <c r="H135" i="5" s="1"/>
  <c r="H106" i="5" s="1"/>
  <c r="H108" i="5" s="1"/>
  <c r="H101" i="5"/>
  <c r="H138" i="5"/>
  <c r="H142" i="5" s="1"/>
  <c r="H89" i="5" s="1"/>
  <c r="H104" i="5" l="1"/>
  <c r="H110" i="5" s="1"/>
  <c r="I76" i="5"/>
  <c r="I77" i="5" s="1"/>
  <c r="I79" i="5" s="1"/>
  <c r="I81" i="5" s="1"/>
  <c r="H95" i="5"/>
  <c r="H112" i="5" s="1"/>
  <c r="I134" i="5" l="1"/>
  <c r="I82" i="5"/>
  <c r="I83" i="5"/>
  <c r="I118" i="5" s="1"/>
  <c r="I119" i="5" l="1"/>
  <c r="I136" i="5"/>
  <c r="I107" i="5" l="1"/>
  <c r="I123" i="5"/>
  <c r="I43" i="5" s="1"/>
  <c r="I47" i="5" l="1"/>
  <c r="I133" i="5" s="1"/>
  <c r="I48" i="5"/>
  <c r="I135" i="5" s="1"/>
  <c r="I137" i="5" l="1"/>
  <c r="I106" i="5" s="1"/>
  <c r="I138" i="5"/>
  <c r="I142" i="5" s="1"/>
  <c r="I89" i="5" s="1"/>
  <c r="I101" i="5"/>
  <c r="I108" i="5" l="1"/>
  <c r="I95" i="5"/>
  <c r="I112" i="5" s="1"/>
  <c r="J76" i="5"/>
  <c r="J77" i="5" s="1"/>
  <c r="J79" i="5" s="1"/>
  <c r="J81" i="5" s="1"/>
  <c r="I104" i="5"/>
  <c r="I110" i="5" s="1"/>
  <c r="J82" i="5" l="1"/>
  <c r="J134" i="5"/>
  <c r="J83" i="5"/>
  <c r="J118" i="5" s="1"/>
  <c r="J136" i="5" l="1"/>
  <c r="J119" i="5"/>
  <c r="J107" i="5" l="1"/>
  <c r="J123" i="5"/>
  <c r="J43" i="5" s="1"/>
  <c r="J48" i="5" l="1"/>
  <c r="J135" i="5" s="1"/>
  <c r="J47" i="5"/>
  <c r="J133" i="5" s="1"/>
  <c r="J137" i="5" l="1"/>
  <c r="J138" i="5"/>
  <c r="J142" i="5" s="1"/>
  <c r="J89" i="5" s="1"/>
  <c r="J101" i="5"/>
  <c r="J106" i="5"/>
  <c r="J108" i="5" s="1"/>
  <c r="J95" i="5" l="1"/>
  <c r="K76" i="5"/>
  <c r="K77" i="5" s="1"/>
  <c r="K79" i="5" s="1"/>
  <c r="K81" i="5" s="1"/>
  <c r="J104" i="5"/>
  <c r="J110" i="5" s="1"/>
  <c r="K134" i="5" l="1"/>
  <c r="K82" i="5"/>
  <c r="K83" i="5"/>
  <c r="K118" i="5" s="1"/>
  <c r="J112" i="5"/>
  <c r="K119" i="5" l="1"/>
  <c r="K136" i="5"/>
  <c r="K123" i="5" l="1"/>
  <c r="K43" i="5" s="1"/>
  <c r="K107" i="5"/>
  <c r="K48" i="5" l="1"/>
  <c r="K135" i="5" s="1"/>
  <c r="K47" i="5"/>
  <c r="K133" i="5" s="1"/>
  <c r="K137" i="5" l="1"/>
  <c r="K138" i="5"/>
  <c r="K142" i="5" s="1"/>
  <c r="K89" i="5" s="1"/>
  <c r="K95" i="5" s="1"/>
  <c r="K101" i="5"/>
  <c r="K104" i="5" s="1"/>
  <c r="K106" i="5"/>
  <c r="K108" i="5" s="1"/>
  <c r="K110" i="5" l="1"/>
  <c r="K112" i="5"/>
</calcChain>
</file>

<file path=xl/sharedStrings.xml><?xml version="1.0" encoding="utf-8"?>
<sst xmlns="http://schemas.openxmlformats.org/spreadsheetml/2006/main" count="202" uniqueCount="192">
  <si>
    <t xml:space="preserve">(dollars in millions, except per share amounts) </t>
  </si>
  <si>
    <t xml:space="preserve">Net sales: </t>
  </si>
  <si>
    <t xml:space="preserve">Product sales </t>
  </si>
  <si>
    <t xml:space="preserve">Service sales </t>
  </si>
  <si>
    <t xml:space="preserve">Costs and expenses: </t>
  </si>
  <si>
    <t xml:space="preserve">Cost of products sold </t>
  </si>
  <si>
    <t xml:space="preserve">Cost of services sold </t>
  </si>
  <si>
    <t xml:space="preserve">Research and development </t>
  </si>
  <si>
    <t xml:space="preserve">Selling, general and administrative </t>
  </si>
  <si>
    <t xml:space="preserve">Other income (expense), net </t>
  </si>
  <si>
    <t xml:space="preserve">Operating profit </t>
  </si>
  <si>
    <t xml:space="preserve">Non-service pension cost (benefit) </t>
  </si>
  <si>
    <t xml:space="preserve">Interest expense (income), net </t>
  </si>
  <si>
    <t xml:space="preserve">Net income before income taxes </t>
  </si>
  <si>
    <t xml:space="preserve">Income tax expense </t>
  </si>
  <si>
    <t xml:space="preserve">Net income </t>
  </si>
  <si>
    <t xml:space="preserve">Less: Noncontrolling interest in subsidiaries' earnings </t>
  </si>
  <si>
    <t xml:space="preserve">Net income attributable to Otis Worldwide Corporation </t>
  </si>
  <si>
    <t xml:space="preserve">(dollars in millions) </t>
  </si>
  <si>
    <t xml:space="preserve">Assets </t>
  </si>
  <si>
    <t xml:space="preserve">Cash and cash equivalents </t>
  </si>
  <si>
    <t xml:space="preserve">Restricted cash </t>
  </si>
  <si>
    <t xml:space="preserve">Accounts receivable (net of allowance for expected credit losses of $175 and $161) </t>
  </si>
  <si>
    <t xml:space="preserve">Contract assets </t>
  </si>
  <si>
    <t xml:space="preserve">Inventories, net </t>
  </si>
  <si>
    <t xml:space="preserve">Other current assets </t>
  </si>
  <si>
    <t xml:space="preserve">Future income tax benefits </t>
  </si>
  <si>
    <t xml:space="preserve">Fixed assets, net </t>
  </si>
  <si>
    <t xml:space="preserve">Operating lease right-of-use assets </t>
  </si>
  <si>
    <t xml:space="preserve">Intangible assets, net </t>
  </si>
  <si>
    <t xml:space="preserve">Goodwill </t>
  </si>
  <si>
    <t xml:space="preserve">Other assets </t>
  </si>
  <si>
    <t xml:space="preserve">Total Assets </t>
  </si>
  <si>
    <t xml:space="preserve">Liabilities and (Deficit) Equity </t>
  </si>
  <si>
    <t xml:space="preserve">Short-term borrowings </t>
  </si>
  <si>
    <t xml:space="preserve">Accounts payable </t>
  </si>
  <si>
    <t xml:space="preserve">Accrued liabilities </t>
  </si>
  <si>
    <t xml:space="preserve">Contract liabilities </t>
  </si>
  <si>
    <t xml:space="preserve">Long-term debt </t>
  </si>
  <si>
    <t xml:space="preserve">Future pension and postretirement benefit obligations </t>
  </si>
  <si>
    <t xml:space="preserve">Operating lease liabilities </t>
  </si>
  <si>
    <t xml:space="preserve">Future income tax obligations </t>
  </si>
  <si>
    <t xml:space="preserve">Other long-term liabilities </t>
  </si>
  <si>
    <t xml:space="preserve">Total Liabilities </t>
  </si>
  <si>
    <t xml:space="preserve">Commitments and contingent liabilities (Note 22) </t>
  </si>
  <si>
    <t xml:space="preserve">Redeemable noncontrolling interest </t>
  </si>
  <si>
    <t xml:space="preserve">Shareholders' (Deficit) Equity: </t>
  </si>
  <si>
    <t xml:space="preserve">Common Stock and additional paid-in-capital </t>
  </si>
  <si>
    <t xml:space="preserve">Treasury Stock </t>
  </si>
  <si>
    <t xml:space="preserve">Accumulated deficit </t>
  </si>
  <si>
    <t xml:space="preserve">Accumulated other comprehensive income (loss) </t>
  </si>
  <si>
    <t xml:space="preserve">Total Shareholders' (Deficit) Equity </t>
  </si>
  <si>
    <t xml:space="preserve">Noncontrolling interest </t>
  </si>
  <si>
    <t xml:space="preserve">Total (Deficit) Equity </t>
  </si>
  <si>
    <t xml:space="preserve">Total Liabilities and (Deficit) Equity </t>
  </si>
  <si>
    <t xml:space="preserve">Inventories </t>
  </si>
  <si>
    <t xml:space="preserve">Depreciation and amortization </t>
  </si>
  <si>
    <t xml:space="preserve">Deferred income tax expense (benefit) </t>
  </si>
  <si>
    <t xml:space="preserve">Stock compensation cost </t>
  </si>
  <si>
    <t xml:space="preserve">Change in: </t>
  </si>
  <si>
    <t xml:space="preserve">Accounts receivable, net </t>
  </si>
  <si>
    <t xml:space="preserve">Contract assets and liabilities, current </t>
  </si>
  <si>
    <t xml:space="preserve">Other operating activities, net </t>
  </si>
  <si>
    <t xml:space="preserve">Net cash flows provided by operating activities </t>
  </si>
  <si>
    <t xml:space="preserve">Investing Activities: </t>
  </si>
  <si>
    <t xml:space="preserve">Capital expenditures </t>
  </si>
  <si>
    <t xml:space="preserve">Receipts (payments) on settlements of derivative contracts </t>
  </si>
  <si>
    <t xml:space="preserve">Other investing activities, net </t>
  </si>
  <si>
    <t xml:space="preserve">Financing Activities: </t>
  </si>
  <si>
    <t xml:space="preserve">Net proceeds from (repayments of) borrowings (maturities of 90 days or less) </t>
  </si>
  <si>
    <t xml:space="preserve">Proceeds from borrowings (maturities longer than 90 days) </t>
  </si>
  <si>
    <t xml:space="preserve">Repayments of borrowings (maturities longer than 90 days) </t>
  </si>
  <si>
    <t xml:space="preserve">Proceeds from issuance of long-term debt </t>
  </si>
  <si>
    <t xml:space="preserve">Payment of debt issuance costs </t>
  </si>
  <si>
    <t xml:space="preserve">Repayment of long-term debt </t>
  </si>
  <si>
    <t xml:space="preserve">Dividends paid on Common Stock </t>
  </si>
  <si>
    <t xml:space="preserve">Repurchases of Common Stock </t>
  </si>
  <si>
    <t xml:space="preserve">Dividends paid to noncontrolling interest </t>
  </si>
  <si>
    <t xml:space="preserve">Net transfers to UTC </t>
  </si>
  <si>
    <t xml:space="preserve">Other financing activities, net </t>
  </si>
  <si>
    <t xml:space="preserve">Net cash flows provided by (used in) financing activities </t>
  </si>
  <si>
    <t xml:space="preserve">Effect of foreign exchange rate changes on cash and cash equivalents </t>
  </si>
  <si>
    <t xml:space="preserve">Cash, cash equivalents and restricted cash, beginning of year </t>
  </si>
  <si>
    <t xml:space="preserve">Cash, cash equivalents and restricted cash, end of year </t>
  </si>
  <si>
    <t xml:space="preserve">Less: Restricted cash </t>
  </si>
  <si>
    <t xml:space="preserve">Cash and cash equivalents, end of period </t>
  </si>
  <si>
    <t xml:space="preserve">Supplemental cash flow information: </t>
  </si>
  <si>
    <t xml:space="preserve">Operating Activities: </t>
  </si>
  <si>
    <t xml:space="preserve">Adjustments to reconcile net income to net cash flows provided by operating activities, net of acquisitions and dispositions: </t>
  </si>
  <si>
    <t xml:space="preserve">Loss on fixed asset impairment </t>
  </si>
  <si>
    <t xml:space="preserve">Pension and postretirement contributions </t>
  </si>
  <si>
    <t xml:space="preserve">Acquisitions of businesses and intangible assets, net of cash (Note 9) </t>
  </si>
  <si>
    <t xml:space="preserve">Dispositions of businesses, net of cash (Note 9) </t>
  </si>
  <si>
    <t xml:space="preserve">Proceeds from sale of (investments in) marketable securities </t>
  </si>
  <si>
    <t xml:space="preserve">Net cash flows provided by (used in) investing activities </t>
  </si>
  <si>
    <t xml:space="preserve">Acquisition of Zardoya Otis shares (Note 1) </t>
  </si>
  <si>
    <t xml:space="preserve">Net increase (decrease) in cash and cash equivalents </t>
  </si>
  <si>
    <t xml:space="preserve">Interest paid </t>
  </si>
  <si>
    <t xml:space="preserve">Income taxes paid, net of (refunds) (including related party of $(15) in 2020) </t>
  </si>
  <si>
    <t>Income Statement (USD Million)</t>
    <phoneticPr fontId="1" type="noConversion"/>
  </si>
  <si>
    <t>Products</t>
    <phoneticPr fontId="1" type="noConversion"/>
  </si>
  <si>
    <t>Services</t>
    <phoneticPr fontId="1" type="noConversion"/>
  </si>
  <si>
    <t>Total Revenues</t>
    <phoneticPr fontId="1" type="noConversion"/>
  </si>
  <si>
    <t>Cost of Products</t>
    <phoneticPr fontId="1" type="noConversion"/>
  </si>
  <si>
    <t>Cost of Services</t>
    <phoneticPr fontId="1" type="noConversion"/>
  </si>
  <si>
    <t>Total COGS</t>
    <phoneticPr fontId="1" type="noConversion"/>
  </si>
  <si>
    <t>Gross Profit</t>
    <phoneticPr fontId="1" type="noConversion"/>
  </si>
  <si>
    <t>Gross Margin %</t>
    <phoneticPr fontId="1" type="noConversion"/>
  </si>
  <si>
    <t>Operating Expenses</t>
    <phoneticPr fontId="1" type="noConversion"/>
  </si>
  <si>
    <t>Operating Income</t>
    <phoneticPr fontId="1" type="noConversion"/>
  </si>
  <si>
    <t>Other Income (Expenses). Net</t>
    <phoneticPr fontId="1" type="noConversion"/>
  </si>
  <si>
    <t>Operating Profit</t>
    <phoneticPr fontId="1" type="noConversion"/>
  </si>
  <si>
    <t>Non-sercies persion cost (benefit)</t>
    <phoneticPr fontId="1" type="noConversion"/>
  </si>
  <si>
    <t>Inerest Expenses (Income)</t>
    <phoneticPr fontId="1" type="noConversion"/>
  </si>
  <si>
    <t>Pre-Tax Income</t>
    <phoneticPr fontId="1" type="noConversion"/>
  </si>
  <si>
    <t>Net Income</t>
    <phoneticPr fontId="1" type="noConversion"/>
  </si>
  <si>
    <t>(-) NCI Net Income</t>
    <phoneticPr fontId="1" type="noConversion"/>
  </si>
  <si>
    <t>Net Income to Parent</t>
    <phoneticPr fontId="1" type="noConversion"/>
  </si>
  <si>
    <t>Income Tax</t>
    <phoneticPr fontId="1" type="noConversion"/>
  </si>
  <si>
    <t>Balance (USD Million)</t>
    <phoneticPr fontId="1" type="noConversion"/>
  </si>
  <si>
    <t>Assets</t>
    <phoneticPr fontId="1" type="noConversion"/>
  </si>
  <si>
    <t>Cash</t>
    <phoneticPr fontId="1" type="noConversion"/>
  </si>
  <si>
    <t>Accounts Receivable</t>
    <phoneticPr fontId="1" type="noConversion"/>
  </si>
  <si>
    <t>Invetory &amp; Other</t>
    <phoneticPr fontId="1" type="noConversion"/>
  </si>
  <si>
    <t>Net PP&amp;E, Goodwill &amp; Intangibles</t>
    <phoneticPr fontId="1" type="noConversion"/>
  </si>
  <si>
    <t>Op Lease Assets</t>
    <phoneticPr fontId="1" type="noConversion"/>
  </si>
  <si>
    <t>Other Assets</t>
    <phoneticPr fontId="1" type="noConversion"/>
  </si>
  <si>
    <t>Total Assets</t>
    <phoneticPr fontId="1" type="noConversion"/>
  </si>
  <si>
    <t>Liabilities &amp; Equity</t>
    <phoneticPr fontId="1" type="noConversion"/>
  </si>
  <si>
    <t>Account Payable</t>
    <phoneticPr fontId="1" type="noConversion"/>
  </si>
  <si>
    <t>Accrued Liaiblities</t>
    <phoneticPr fontId="1" type="noConversion"/>
  </si>
  <si>
    <t>Total Debt</t>
    <phoneticPr fontId="1" type="noConversion"/>
  </si>
  <si>
    <t>Op Lease Liabilities</t>
    <phoneticPr fontId="1" type="noConversion"/>
  </si>
  <si>
    <t>Other Liabilities</t>
    <phoneticPr fontId="1" type="noConversion"/>
  </si>
  <si>
    <t>Total Liaiblities</t>
    <phoneticPr fontId="1" type="noConversion"/>
  </si>
  <si>
    <t>Common Shareholder's Equity</t>
    <phoneticPr fontId="1" type="noConversion"/>
  </si>
  <si>
    <t>Noncontrolling Interest</t>
    <phoneticPr fontId="1" type="noConversion"/>
  </si>
  <si>
    <t>Total Equity</t>
    <phoneticPr fontId="1" type="noConversion"/>
  </si>
  <si>
    <t>Total liabilities + Equity</t>
    <phoneticPr fontId="1" type="noConversion"/>
  </si>
  <si>
    <t>Balance Check</t>
    <phoneticPr fontId="1" type="noConversion"/>
  </si>
  <si>
    <t>Contract Liabilities</t>
    <phoneticPr fontId="1" type="noConversion"/>
  </si>
  <si>
    <t>Cash Flow (USD Million)</t>
    <phoneticPr fontId="1" type="noConversion"/>
  </si>
  <si>
    <t>Cash Flow from Operations</t>
    <phoneticPr fontId="1" type="noConversion"/>
  </si>
  <si>
    <t>(+/-) Reversal Of NCI Net Income</t>
    <phoneticPr fontId="1" type="noConversion"/>
  </si>
  <si>
    <t>(+) D&amp;A</t>
    <phoneticPr fontId="1" type="noConversion"/>
  </si>
  <si>
    <t>(+/-) Pensions/Other Items</t>
    <phoneticPr fontId="1" type="noConversion"/>
  </si>
  <si>
    <t>(+/1) Change in WC &amp; Leases</t>
    <phoneticPr fontId="1" type="noConversion"/>
  </si>
  <si>
    <t>Cash Flow From Investing</t>
    <phoneticPr fontId="1" type="noConversion"/>
  </si>
  <si>
    <t>(-) CapEx</t>
    <phoneticPr fontId="1" type="noConversion"/>
  </si>
  <si>
    <t>(-) Acquisitions &amp; Others</t>
    <phoneticPr fontId="1" type="noConversion"/>
  </si>
  <si>
    <t>Cash Flow from Financing</t>
    <phoneticPr fontId="1" type="noConversion"/>
  </si>
  <si>
    <t>(+/-）Change in Debt</t>
    <phoneticPr fontId="1" type="noConversion"/>
  </si>
  <si>
    <t>(-) Common Dividends</t>
    <phoneticPr fontId="1" type="noConversion"/>
  </si>
  <si>
    <t>(-) Stock Repurchases</t>
    <phoneticPr fontId="1" type="noConversion"/>
  </si>
  <si>
    <t>(-) Dividends to NCI</t>
    <phoneticPr fontId="1" type="noConversion"/>
  </si>
  <si>
    <t>(+/-) Other Items</t>
    <phoneticPr fontId="1" type="noConversion"/>
  </si>
  <si>
    <t>FX Rate Effests</t>
    <phoneticPr fontId="1" type="noConversion"/>
  </si>
  <si>
    <t>Net Changes in Cahs</t>
    <phoneticPr fontId="1" type="noConversion"/>
  </si>
  <si>
    <t>Drivers (USD Million)</t>
    <phoneticPr fontId="1" type="noConversion"/>
  </si>
  <si>
    <t>New Equipment Market Size</t>
    <phoneticPr fontId="1" type="noConversion"/>
  </si>
  <si>
    <t>Growth Rate</t>
    <phoneticPr fontId="1" type="noConversion"/>
  </si>
  <si>
    <t>New Equipment Market Share</t>
    <phoneticPr fontId="1" type="noConversion"/>
  </si>
  <si>
    <t>Services Units (Maintenance)</t>
    <phoneticPr fontId="1" type="noConversion"/>
  </si>
  <si>
    <t>Growht Rate</t>
    <phoneticPr fontId="1" type="noConversion"/>
  </si>
  <si>
    <t>Revenue Per Service Unit</t>
    <phoneticPr fontId="1" type="noConversion"/>
  </si>
  <si>
    <t>Product - COGS % Revenue</t>
    <phoneticPr fontId="1" type="noConversion"/>
  </si>
  <si>
    <t>Service - COGS % Revenue</t>
    <phoneticPr fontId="1" type="noConversion"/>
  </si>
  <si>
    <t>OpEx - % Revenue</t>
    <phoneticPr fontId="1" type="noConversion"/>
  </si>
  <si>
    <t>Tax Rate</t>
    <phoneticPr fontId="1" type="noConversion"/>
  </si>
  <si>
    <t>NCI Net Income % Total Net Income</t>
    <phoneticPr fontId="1" type="noConversion"/>
  </si>
  <si>
    <t>Account Receivable % Revenue</t>
    <phoneticPr fontId="1" type="noConversion"/>
  </si>
  <si>
    <t>Inventory &amp; Other % COGS</t>
    <phoneticPr fontId="1" type="noConversion"/>
  </si>
  <si>
    <t>Op Leaase Assets % OpEx</t>
    <phoneticPr fontId="1" type="noConversion"/>
  </si>
  <si>
    <t>Accounts Paybale % COGS</t>
    <phoneticPr fontId="1" type="noConversion"/>
  </si>
  <si>
    <t>Accured Liabilites % Total Expense</t>
    <phoneticPr fontId="1" type="noConversion"/>
  </si>
  <si>
    <t>Contract Liabilites % Total Expense</t>
    <phoneticPr fontId="1" type="noConversion"/>
  </si>
  <si>
    <t>Other Liabilities % Total Expense</t>
    <phoneticPr fontId="1" type="noConversion"/>
  </si>
  <si>
    <t>CapEX % Revenue</t>
    <phoneticPr fontId="1" type="noConversion"/>
  </si>
  <si>
    <t>D&amp;A % Revenue</t>
    <phoneticPr fontId="1" type="noConversion"/>
  </si>
  <si>
    <t>Pensions/Other Items % Revnue</t>
    <phoneticPr fontId="1" type="noConversion"/>
  </si>
  <si>
    <t>Acquistions &amp; Others</t>
    <phoneticPr fontId="1" type="noConversion"/>
  </si>
  <si>
    <t>Common Dividends % Net Income</t>
    <phoneticPr fontId="1" type="noConversion"/>
  </si>
  <si>
    <t>Dividends to NCI % NCI Net Income</t>
    <phoneticPr fontId="1" type="noConversion"/>
  </si>
  <si>
    <t>FX Rate Effect % Revenue</t>
    <phoneticPr fontId="1" type="noConversion"/>
  </si>
  <si>
    <t>Minimum Cash</t>
    <phoneticPr fontId="1" type="noConversion"/>
  </si>
  <si>
    <t>Excess Cash Flow</t>
    <phoneticPr fontId="1" type="noConversion"/>
  </si>
  <si>
    <t>%Stock Repurchase</t>
    <phoneticPr fontId="1" type="noConversion"/>
  </si>
  <si>
    <t>%Debt Repayment</t>
    <phoneticPr fontId="1" type="noConversion"/>
  </si>
  <si>
    <t>Change In Debt</t>
    <phoneticPr fontId="1" type="noConversion"/>
  </si>
  <si>
    <t>Stock Repurchase</t>
    <phoneticPr fontId="1" type="noConversion"/>
  </si>
  <si>
    <t>Other Items % Debt Issuance</t>
    <phoneticPr fontId="1" type="noConversion"/>
  </si>
  <si>
    <t>Interest Expense % Debt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</si>
</sst>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24" formatCode="\$#,##0_);[Red]\(\$#,##0\)"/>
    <numFmt numFmtId="176" formatCode="#,##0.00_ "/>
    <numFmt numFmtId="177" formatCode="#,##0.00_);[Red]\(#,##0.00\)"/>
    <numFmt numFmtId="178" formatCode="&quot;FY&quot;\ yy"/>
  </numFmts>
  <fonts count="7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0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i/>
      <sz val="11"/>
      <color theme="1"/>
      <name val="等线"/>
      <family val="3"/>
      <charset val="134"/>
      <scheme val="minor"/>
    </font>
    <font>
      <i/>
      <sz val="11"/>
      <color theme="1"/>
      <name val="等线"/>
      <family val="3"/>
      <charset val="134"/>
      <scheme val="minor"/>
    </font>
    <font>
      <b/>
      <sz val="11"/>
      <color theme="3" tint="0.249977111117893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249977111117893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24" fontId="0" fillId="0" borderId="0" xfId="0" applyNumberFormat="1">
      <alignment vertical="center"/>
    </xf>
    <xf numFmtId="3" fontId="0" fillId="0" borderId="0" xfId="0" applyNumberFormat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2" fillId="2" borderId="0" xfId="0" applyFont="1" applyFill="1">
      <alignment vertical="center"/>
    </xf>
    <xf numFmtId="178" fontId="2" fillId="2" borderId="0" xfId="0" applyNumberFormat="1" applyFont="1" applyFill="1" applyAlignment="1">
      <alignment horizontal="center" vertical="center"/>
    </xf>
    <xf numFmtId="0" fontId="3" fillId="0" borderId="0" xfId="0" applyFont="1">
      <alignment vertical="center"/>
    </xf>
    <xf numFmtId="0" fontId="0" fillId="0" borderId="0" xfId="0" applyAlignment="1">
      <alignment horizontal="left" vertical="center" indent="1"/>
    </xf>
    <xf numFmtId="0" fontId="0" fillId="0" borderId="1" xfId="0" applyBorder="1" applyAlignment="1">
      <alignment horizontal="left" vertical="center" indent="1"/>
    </xf>
    <xf numFmtId="0" fontId="0" fillId="0" borderId="1" xfId="0" applyBorder="1">
      <alignment vertical="center"/>
    </xf>
    <xf numFmtId="4" fontId="0" fillId="0" borderId="0" xfId="0" applyNumberFormat="1">
      <alignment vertical="center"/>
    </xf>
    <xf numFmtId="177" fontId="0" fillId="0" borderId="1" xfId="0" applyNumberFormat="1" applyBorder="1">
      <alignment vertical="center"/>
    </xf>
    <xf numFmtId="177" fontId="3" fillId="0" borderId="0" xfId="0" applyNumberFormat="1" applyFont="1">
      <alignment vertical="center"/>
    </xf>
    <xf numFmtId="9" fontId="0" fillId="0" borderId="0" xfId="0" applyNumberFormat="1">
      <alignment vertical="center"/>
    </xf>
    <xf numFmtId="10" fontId="0" fillId="0" borderId="0" xfId="0" applyNumberFormat="1">
      <alignment vertical="center"/>
    </xf>
    <xf numFmtId="0" fontId="4" fillId="0" borderId="0" xfId="0" applyFont="1" applyAlignment="1">
      <alignment horizontal="left" vertical="center" indent="1"/>
    </xf>
    <xf numFmtId="0" fontId="5" fillId="0" borderId="0" xfId="0" applyFont="1">
      <alignment vertical="center"/>
    </xf>
    <xf numFmtId="10" fontId="5" fillId="0" borderId="0" xfId="0" applyNumberFormat="1" applyFont="1">
      <alignment vertical="center"/>
    </xf>
    <xf numFmtId="4" fontId="0" fillId="0" borderId="1" xfId="0" applyNumberFormat="1" applyBorder="1">
      <alignment vertical="center"/>
    </xf>
    <xf numFmtId="177" fontId="0" fillId="3" borderId="0" xfId="0" applyNumberFormat="1" applyFill="1">
      <alignment vertical="center"/>
    </xf>
    <xf numFmtId="4" fontId="3" fillId="0" borderId="0" xfId="0" applyNumberFormat="1" applyFont="1">
      <alignment vertical="center"/>
    </xf>
    <xf numFmtId="4" fontId="4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left" vertical="center" indent="1"/>
    </xf>
    <xf numFmtId="10" fontId="6" fillId="0" borderId="0" xfId="0" applyNumberFormat="1" applyFont="1">
      <alignment vertical="center"/>
    </xf>
    <xf numFmtId="2" fontId="6" fillId="0" borderId="0" xfId="0" applyNumberFormat="1" applyFo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5C4F2-779F-4B8B-B502-D1F6B2E08281}">
  <dimension ref="B2:K142"/>
  <sheetViews>
    <sheetView showGridLines="0" tabSelected="1" workbookViewId="0">
      <selection activeCell="C10" sqref="C10"/>
    </sheetView>
  </sheetViews>
  <sheetFormatPr defaultRowHeight="14.25" x14ac:dyDescent="0.2"/>
  <cols>
    <col min="2" max="2" width="29.25" bestFit="1" customWidth="1"/>
    <col min="4" max="4" width="12.75" bestFit="1" customWidth="1"/>
    <col min="5" max="5" width="11.625" bestFit="1" customWidth="1"/>
    <col min="6" max="6" width="11.125" bestFit="1" customWidth="1"/>
    <col min="7" max="7" width="12.125" bestFit="1" customWidth="1"/>
    <col min="8" max="8" width="11.625" bestFit="1" customWidth="1"/>
  </cols>
  <sheetData>
    <row r="2" spans="2:11" x14ac:dyDescent="0.2">
      <c r="B2" s="6" t="s">
        <v>158</v>
      </c>
      <c r="C2" s="6"/>
      <c r="D2" s="7">
        <f>D$56</f>
        <v>44196</v>
      </c>
      <c r="E2" s="7">
        <f t="shared" ref="E2:K2" si="0">E$56</f>
        <v>44561</v>
      </c>
      <c r="F2" s="7">
        <f t="shared" si="0"/>
        <v>44926</v>
      </c>
      <c r="G2" s="7">
        <f t="shared" si="0"/>
        <v>45291</v>
      </c>
      <c r="H2" s="7">
        <f t="shared" si="0"/>
        <v>45657</v>
      </c>
      <c r="I2" s="7">
        <f t="shared" si="0"/>
        <v>46022</v>
      </c>
      <c r="J2" s="7">
        <f t="shared" si="0"/>
        <v>46387</v>
      </c>
      <c r="K2" s="7">
        <f t="shared" si="0"/>
        <v>46752</v>
      </c>
    </row>
    <row r="4" spans="2:11" x14ac:dyDescent="0.2">
      <c r="B4" t="s">
        <v>159</v>
      </c>
      <c r="D4" s="4">
        <f>D58/D7</f>
        <v>31594.117647058822</v>
      </c>
      <c r="E4" s="4">
        <f>E58/E7</f>
        <v>35711.111111111109</v>
      </c>
      <c r="F4" s="4">
        <f>F58/F7</f>
        <v>30863.157894736843</v>
      </c>
      <c r="G4" s="4">
        <f>F4*(1+G5)</f>
        <v>32097.684210526317</v>
      </c>
      <c r="H4" s="4">
        <f t="shared" ref="H4:K4" si="1">G4*(1+H5)</f>
        <v>33221.103157894737</v>
      </c>
      <c r="I4" s="4">
        <f t="shared" si="1"/>
        <v>34383.841768421051</v>
      </c>
      <c r="J4" s="4">
        <f t="shared" si="1"/>
        <v>35415.357021473683</v>
      </c>
      <c r="K4" s="4">
        <f t="shared" si="1"/>
        <v>36300.740947010519</v>
      </c>
    </row>
    <row r="5" spans="2:11" x14ac:dyDescent="0.2">
      <c r="B5" t="s">
        <v>160</v>
      </c>
      <c r="E5" s="16">
        <f>E4/D4-1</f>
        <v>0.13030886034051181</v>
      </c>
      <c r="F5" s="16">
        <f>F4/E4-1</f>
        <v>-0.13575475714800367</v>
      </c>
      <c r="G5" s="25">
        <v>0.04</v>
      </c>
      <c r="H5" s="25">
        <v>3.5000000000000003E-2</v>
      </c>
      <c r="I5" s="25">
        <v>3.5000000000000003E-2</v>
      </c>
      <c r="J5" s="25">
        <v>0.03</v>
      </c>
      <c r="K5" s="25">
        <v>2.5000000000000001E-2</v>
      </c>
    </row>
    <row r="7" spans="2:11" x14ac:dyDescent="0.2">
      <c r="B7" t="s">
        <v>161</v>
      </c>
      <c r="D7" s="25">
        <v>0.17</v>
      </c>
      <c r="E7" s="25">
        <v>0.18</v>
      </c>
      <c r="F7" s="25">
        <v>0.19</v>
      </c>
      <c r="G7" s="25">
        <v>0.192</v>
      </c>
      <c r="H7" s="25">
        <v>0.19400000000000001</v>
      </c>
      <c r="I7" s="25">
        <v>0.19600000000000001</v>
      </c>
      <c r="J7" s="25">
        <v>0.19800000000000001</v>
      </c>
      <c r="K7" s="25">
        <v>0.2</v>
      </c>
    </row>
    <row r="9" spans="2:11" x14ac:dyDescent="0.2">
      <c r="B9" t="s">
        <v>162</v>
      </c>
      <c r="D9" s="26">
        <v>2.1</v>
      </c>
      <c r="E9" s="26">
        <v>2.11</v>
      </c>
      <c r="F9" s="26">
        <v>2.2000000000000002</v>
      </c>
      <c r="G9" s="4">
        <f>F9*(1+G10)</f>
        <v>2.2880000000000003</v>
      </c>
      <c r="H9" s="4">
        <f t="shared" ref="H9:K9" si="2">G9*(1+H10)</f>
        <v>2.3795200000000003</v>
      </c>
      <c r="I9" s="4">
        <f t="shared" si="2"/>
        <v>2.4747008000000004</v>
      </c>
      <c r="J9" s="4">
        <f t="shared" si="2"/>
        <v>2.5736888320000006</v>
      </c>
      <c r="K9" s="4">
        <f t="shared" si="2"/>
        <v>2.6766363852800006</v>
      </c>
    </row>
    <row r="10" spans="2:11" x14ac:dyDescent="0.2">
      <c r="B10" t="s">
        <v>163</v>
      </c>
      <c r="E10" s="16">
        <f>E9/D9-1</f>
        <v>4.761904761904745E-3</v>
      </c>
      <c r="F10" s="16">
        <f>F9/E9-1</f>
        <v>4.2654028436019065E-2</v>
      </c>
      <c r="G10" s="25">
        <v>0.04</v>
      </c>
      <c r="H10" s="25">
        <v>0.04</v>
      </c>
      <c r="I10" s="25">
        <v>0.04</v>
      </c>
      <c r="J10" s="25">
        <v>0.04</v>
      </c>
      <c r="K10" s="25">
        <v>0.04</v>
      </c>
    </row>
    <row r="12" spans="2:11" x14ac:dyDescent="0.2">
      <c r="B12" t="s">
        <v>164</v>
      </c>
      <c r="D12" s="4">
        <f>D59/D9</f>
        <v>3516.6666666666665</v>
      </c>
      <c r="E12" s="4">
        <f>E59/E9</f>
        <v>3729.8578199052135</v>
      </c>
      <c r="F12" s="4">
        <f>F59/F9</f>
        <v>3554.9999999999995</v>
      </c>
      <c r="G12" s="4">
        <f>F12*(1+G13)</f>
        <v>3697.2</v>
      </c>
      <c r="H12" s="4">
        <f t="shared" ref="H12:K12" si="3">G12*(1+H13)</f>
        <v>3826.6019999999994</v>
      </c>
      <c r="I12" s="4">
        <f t="shared" si="3"/>
        <v>3960.533069999999</v>
      </c>
      <c r="J12" s="4">
        <f t="shared" si="3"/>
        <v>4079.3490620999992</v>
      </c>
      <c r="K12" s="4">
        <f t="shared" si="3"/>
        <v>4201.7295339629991</v>
      </c>
    </row>
    <row r="13" spans="2:11" x14ac:dyDescent="0.2">
      <c r="B13" t="s">
        <v>160</v>
      </c>
      <c r="E13" s="16">
        <f>E12/D12-1</f>
        <v>6.0623076750297766E-2</v>
      </c>
      <c r="F13" s="16">
        <f>F12/E12-1</f>
        <v>-4.6880559085133555E-2</v>
      </c>
      <c r="G13" s="25">
        <v>0.04</v>
      </c>
      <c r="H13" s="25">
        <v>3.5000000000000003E-2</v>
      </c>
      <c r="I13" s="25">
        <v>3.5000000000000003E-2</v>
      </c>
      <c r="J13" s="25">
        <v>0.03</v>
      </c>
      <c r="K13" s="25">
        <v>0.03</v>
      </c>
    </row>
    <row r="15" spans="2:11" x14ac:dyDescent="0.2">
      <c r="B15" t="s">
        <v>165</v>
      </c>
      <c r="D15" s="16">
        <f>D62/D58</f>
        <v>0.82647551666356356</v>
      </c>
      <c r="E15" s="16">
        <f t="shared" ref="E15:F15" si="4">E62/E58</f>
        <v>0.82342874922215303</v>
      </c>
      <c r="F15" s="16">
        <f t="shared" si="4"/>
        <v>0.84396316507503411</v>
      </c>
      <c r="G15" s="16">
        <f>AVERAGE(D15:F15)</f>
        <v>0.83128914365358353</v>
      </c>
      <c r="H15" s="16">
        <f>$G15</f>
        <v>0.83128914365358353</v>
      </c>
      <c r="I15" s="16">
        <f t="shared" ref="I15:K33" si="5">$G15</f>
        <v>0.83128914365358353</v>
      </c>
      <c r="J15" s="16">
        <f t="shared" si="5"/>
        <v>0.83128914365358353</v>
      </c>
      <c r="K15" s="16">
        <f t="shared" si="5"/>
        <v>0.83128914365358353</v>
      </c>
    </row>
    <row r="16" spans="2:11" x14ac:dyDescent="0.2">
      <c r="B16" t="s">
        <v>166</v>
      </c>
      <c r="D16" s="16">
        <f>D63/D59</f>
        <v>0.61448882870683819</v>
      </c>
      <c r="E16" s="16">
        <f t="shared" ref="E16:F16" si="6">E63/E59</f>
        <v>0.61143583227445997</v>
      </c>
      <c r="F16" s="16">
        <f t="shared" si="6"/>
        <v>0.61577803349955251</v>
      </c>
      <c r="G16" s="16">
        <f t="shared" ref="G16:G17" si="7">AVERAGE(D16:F16)</f>
        <v>0.61390089816028359</v>
      </c>
      <c r="H16" s="16">
        <f t="shared" ref="H16:H33" si="8">$G16</f>
        <v>0.61390089816028359</v>
      </c>
      <c r="I16" s="16">
        <f t="shared" si="5"/>
        <v>0.61390089816028359</v>
      </c>
      <c r="J16" s="16">
        <f t="shared" si="5"/>
        <v>0.61390089816028359</v>
      </c>
      <c r="K16" s="16">
        <f t="shared" si="5"/>
        <v>0.61390089816028359</v>
      </c>
    </row>
    <row r="17" spans="2:11" x14ac:dyDescent="0.2">
      <c r="B17" t="s">
        <v>167</v>
      </c>
      <c r="D17" s="16">
        <f>D69/D60</f>
        <v>0.16274694261523989</v>
      </c>
      <c r="E17" s="16">
        <f t="shared" ref="E17:F17" si="9">E69/E60</f>
        <v>0.1473632675898727</v>
      </c>
      <c r="F17" s="16">
        <f t="shared" si="9"/>
        <v>0.13978808914870297</v>
      </c>
      <c r="G17" s="16">
        <f t="shared" si="7"/>
        <v>0.14996609978460518</v>
      </c>
      <c r="H17" s="16">
        <f t="shared" si="8"/>
        <v>0.14996609978460518</v>
      </c>
      <c r="I17" s="16">
        <f t="shared" si="5"/>
        <v>0.14996609978460518</v>
      </c>
      <c r="J17" s="16">
        <f t="shared" si="5"/>
        <v>0.14996609978460518</v>
      </c>
      <c r="K17" s="16">
        <f t="shared" si="5"/>
        <v>0.14996609978460518</v>
      </c>
    </row>
    <row r="19" spans="2:11" x14ac:dyDescent="0.2">
      <c r="B19" t="s">
        <v>168</v>
      </c>
      <c r="D19" s="16">
        <f>D79/D77</f>
        <v>0.3011250827266711</v>
      </c>
      <c r="E19" s="16">
        <f t="shared" ref="E19:F19" si="10">E79/E77</f>
        <v>0.27587965323814378</v>
      </c>
      <c r="F19" s="16">
        <f t="shared" si="10"/>
        <v>0.27489406779661019</v>
      </c>
      <c r="G19" s="16">
        <f t="shared" ref="G19:G20" si="11">AVERAGE(D19:F19)</f>
        <v>0.28396626792047502</v>
      </c>
      <c r="H19" s="16">
        <f t="shared" si="8"/>
        <v>0.28396626792047502</v>
      </c>
      <c r="I19" s="16">
        <f t="shared" si="5"/>
        <v>0.28396626792047502</v>
      </c>
      <c r="J19" s="16">
        <f t="shared" si="5"/>
        <v>0.28396626792047502</v>
      </c>
      <c r="K19" s="16">
        <f t="shared" si="5"/>
        <v>0.28396626792047502</v>
      </c>
    </row>
    <row r="20" spans="2:11" x14ac:dyDescent="0.2">
      <c r="B20" t="s">
        <v>169</v>
      </c>
      <c r="D20" s="16">
        <f>D82/D81</f>
        <v>0.14204545454545456</v>
      </c>
      <c r="E20" s="16">
        <f t="shared" ref="E20:F20" si="12">E82/E81</f>
        <v>0.12253521126760564</v>
      </c>
      <c r="F20" s="16">
        <f t="shared" si="12"/>
        <v>8.473338203067933E-2</v>
      </c>
      <c r="G20" s="16">
        <f t="shared" si="11"/>
        <v>0.11643801594791316</v>
      </c>
      <c r="H20" s="16">
        <f t="shared" si="8"/>
        <v>0.11643801594791316</v>
      </c>
      <c r="I20" s="16">
        <f t="shared" si="5"/>
        <v>0.11643801594791316</v>
      </c>
      <c r="J20" s="16">
        <f t="shared" si="5"/>
        <v>0.11643801594791316</v>
      </c>
      <c r="K20" s="16">
        <f t="shared" si="5"/>
        <v>0.11643801594791316</v>
      </c>
    </row>
    <row r="22" spans="2:11" x14ac:dyDescent="0.2">
      <c r="B22" t="s">
        <v>170</v>
      </c>
      <c r="D22" s="16">
        <f>D90/D60</f>
        <v>0.24678582627783005</v>
      </c>
      <c r="E22" s="16">
        <f t="shared" ref="E22:F22" si="13">E90/E60</f>
        <v>0.22604560078332633</v>
      </c>
      <c r="F22" s="16">
        <f t="shared" si="13"/>
        <v>0.24530507855316039</v>
      </c>
      <c r="G22" s="16">
        <f t="shared" ref="G22:G24" si="14">AVERAGE(D22:F22)</f>
        <v>0.23937883520477224</v>
      </c>
      <c r="H22" s="16">
        <f t="shared" si="8"/>
        <v>0.23937883520477224</v>
      </c>
      <c r="I22" s="16">
        <f t="shared" si="5"/>
        <v>0.23937883520477224</v>
      </c>
      <c r="J22" s="16">
        <f t="shared" si="5"/>
        <v>0.23937883520477224</v>
      </c>
      <c r="K22" s="16">
        <f t="shared" si="5"/>
        <v>0.23937883520477224</v>
      </c>
    </row>
    <row r="23" spans="2:11" x14ac:dyDescent="0.2">
      <c r="B23" t="s">
        <v>171</v>
      </c>
      <c r="D23" s="16">
        <f>D91/D64</f>
        <v>0.1722178901637518</v>
      </c>
      <c r="E23" s="16">
        <f t="shared" ref="E23:F23" si="15">E91/E64</f>
        <v>0.15378525482434438</v>
      </c>
      <c r="F23" s="16">
        <f t="shared" si="15"/>
        <v>0.16303123399897593</v>
      </c>
      <c r="G23" s="16">
        <f t="shared" si="14"/>
        <v>0.16301145966235739</v>
      </c>
      <c r="H23" s="16">
        <f t="shared" si="8"/>
        <v>0.16301145966235739</v>
      </c>
      <c r="I23" s="16">
        <f t="shared" si="5"/>
        <v>0.16301145966235739</v>
      </c>
      <c r="J23" s="16">
        <f t="shared" si="5"/>
        <v>0.16301145966235739</v>
      </c>
      <c r="K23" s="16">
        <f t="shared" si="5"/>
        <v>0.16301145966235739</v>
      </c>
    </row>
    <row r="24" spans="2:11" x14ac:dyDescent="0.2">
      <c r="B24" t="s">
        <v>172</v>
      </c>
      <c r="D24" s="16">
        <f>D93/D69</f>
        <v>0.26107899807321772</v>
      </c>
      <c r="E24" s="16">
        <f t="shared" ref="E24:F24" si="16">E93/E69</f>
        <v>0.24964404366397722</v>
      </c>
      <c r="F24" s="16">
        <f t="shared" si="16"/>
        <v>0.23470987976999477</v>
      </c>
      <c r="G24" s="16">
        <f t="shared" si="14"/>
        <v>0.2484776405023966</v>
      </c>
      <c r="H24" s="16">
        <f t="shared" si="8"/>
        <v>0.2484776405023966</v>
      </c>
      <c r="I24" s="16">
        <f t="shared" si="5"/>
        <v>0.2484776405023966</v>
      </c>
      <c r="J24" s="16">
        <f t="shared" si="5"/>
        <v>0.2484776405023966</v>
      </c>
      <c r="K24" s="16">
        <f t="shared" si="5"/>
        <v>0.2484776405023966</v>
      </c>
    </row>
    <row r="26" spans="2:11" x14ac:dyDescent="0.2">
      <c r="B26" t="s">
        <v>173</v>
      </c>
      <c r="D26" s="16">
        <f>D98/D64</f>
        <v>0.1618580817645093</v>
      </c>
      <c r="E26" s="16">
        <f t="shared" ref="E26:F26" si="17">E98/E64</f>
        <v>0.15398317664522512</v>
      </c>
      <c r="F26" s="16">
        <f t="shared" si="17"/>
        <v>0.17583205325140808</v>
      </c>
      <c r="G26" s="16">
        <f t="shared" ref="G26:G29" si="18">AVERAGE(D26:F26)</f>
        <v>0.1638911038870475</v>
      </c>
      <c r="H26" s="16">
        <f t="shared" si="8"/>
        <v>0.1638911038870475</v>
      </c>
      <c r="I26" s="16">
        <f t="shared" si="5"/>
        <v>0.1638911038870475</v>
      </c>
      <c r="J26" s="16">
        <f t="shared" si="5"/>
        <v>0.1638911038870475</v>
      </c>
      <c r="K26" s="16">
        <f t="shared" si="5"/>
        <v>0.1638911038870475</v>
      </c>
    </row>
    <row r="27" spans="2:11" x14ac:dyDescent="0.2">
      <c r="B27" t="s">
        <v>174</v>
      </c>
      <c r="D27" s="16">
        <f>D99/(D64+D69)</f>
        <v>0.1788654663892156</v>
      </c>
      <c r="E27" s="16">
        <f t="shared" ref="E27:F27" si="19">E99/(E64+E69)</f>
        <v>0.16320013101867015</v>
      </c>
      <c r="F27" s="16">
        <f t="shared" si="19"/>
        <v>0.15362219558143517</v>
      </c>
      <c r="G27" s="16">
        <f t="shared" si="18"/>
        <v>0.16522926432977367</v>
      </c>
      <c r="H27" s="16">
        <f t="shared" si="8"/>
        <v>0.16522926432977367</v>
      </c>
      <c r="I27" s="16">
        <f t="shared" si="5"/>
        <v>0.16522926432977367</v>
      </c>
      <c r="J27" s="16">
        <f t="shared" si="5"/>
        <v>0.16522926432977367</v>
      </c>
      <c r="K27" s="16">
        <f t="shared" si="5"/>
        <v>0.16522926432977367</v>
      </c>
    </row>
    <row r="28" spans="2:11" x14ac:dyDescent="0.2">
      <c r="B28" t="s">
        <v>175</v>
      </c>
      <c r="D28" s="16">
        <f>D100/(D64+D69)</f>
        <v>0.22998281009680629</v>
      </c>
      <c r="E28" s="16">
        <f t="shared" ref="E28:F28" si="20">E100/(E64+E69)</f>
        <v>0.21896495250573206</v>
      </c>
      <c r="F28" s="16">
        <f t="shared" si="20"/>
        <v>0.22794999143688988</v>
      </c>
      <c r="G28" s="16">
        <f t="shared" si="18"/>
        <v>0.2256325846798094</v>
      </c>
      <c r="H28" s="16">
        <f t="shared" si="8"/>
        <v>0.2256325846798094</v>
      </c>
      <c r="I28" s="16">
        <f t="shared" si="5"/>
        <v>0.2256325846798094</v>
      </c>
      <c r="J28" s="16">
        <f t="shared" si="5"/>
        <v>0.2256325846798094</v>
      </c>
      <c r="K28" s="16">
        <f t="shared" si="5"/>
        <v>0.2256325846798094</v>
      </c>
    </row>
    <row r="29" spans="2:11" x14ac:dyDescent="0.2">
      <c r="B29" t="s">
        <v>176</v>
      </c>
      <c r="D29" s="16">
        <f>D103/(D64+D69)</f>
        <v>0.14557133809825387</v>
      </c>
      <c r="E29" s="16">
        <f t="shared" ref="E29:F29" si="21">E103/(E64+E69)</f>
        <v>0.11717982312479529</v>
      </c>
      <c r="F29" s="16">
        <f t="shared" si="21"/>
        <v>0.10506936119198493</v>
      </c>
      <c r="G29" s="16">
        <f t="shared" si="18"/>
        <v>0.12260684080501134</v>
      </c>
      <c r="H29" s="16">
        <f t="shared" si="8"/>
        <v>0.12260684080501134</v>
      </c>
      <c r="I29" s="16">
        <f t="shared" si="5"/>
        <v>0.12260684080501134</v>
      </c>
      <c r="J29" s="16">
        <f t="shared" si="5"/>
        <v>0.12260684080501134</v>
      </c>
      <c r="K29" s="16">
        <f t="shared" si="5"/>
        <v>0.12260684080501134</v>
      </c>
    </row>
    <row r="31" spans="2:11" x14ac:dyDescent="0.2">
      <c r="B31" t="s">
        <v>177</v>
      </c>
      <c r="D31" s="16">
        <f>D127/D60</f>
        <v>-1.4346190028222013E-2</v>
      </c>
      <c r="E31" s="16">
        <f t="shared" ref="E31:F31" si="22">E127/E60</f>
        <v>-1.0910616869492237E-2</v>
      </c>
      <c r="F31" s="16">
        <f t="shared" si="22"/>
        <v>-8.4033613445378148E-3</v>
      </c>
      <c r="G31" s="16">
        <f t="shared" ref="G31:G33" si="23">AVERAGE(D31:F31)</f>
        <v>-1.1220056080750688E-2</v>
      </c>
      <c r="H31" s="16">
        <f t="shared" si="8"/>
        <v>-1.1220056080750688E-2</v>
      </c>
      <c r="I31" s="16">
        <f t="shared" si="5"/>
        <v>-1.1220056080750688E-2</v>
      </c>
      <c r="J31" s="16">
        <f t="shared" si="5"/>
        <v>-1.1220056080750688E-2</v>
      </c>
      <c r="K31" s="16">
        <f t="shared" si="5"/>
        <v>-1.1220056080750688E-2</v>
      </c>
    </row>
    <row r="32" spans="2:11" x14ac:dyDescent="0.2">
      <c r="B32" t="s">
        <v>178</v>
      </c>
      <c r="D32" s="16">
        <f>D120/D60</f>
        <v>1.4973345876450299E-2</v>
      </c>
      <c r="E32" s="16">
        <f t="shared" ref="E32:F32" si="24">E120/E60</f>
        <v>1.4197789900685411E-2</v>
      </c>
      <c r="F32" s="16">
        <f t="shared" si="24"/>
        <v>1.3956887102667154E-2</v>
      </c>
      <c r="G32" s="16">
        <f t="shared" si="23"/>
        <v>1.4376007626600955E-2</v>
      </c>
      <c r="H32" s="16">
        <f t="shared" si="8"/>
        <v>1.4376007626600955E-2</v>
      </c>
      <c r="I32" s="16">
        <f t="shared" si="5"/>
        <v>1.4376007626600955E-2</v>
      </c>
      <c r="J32" s="16">
        <f t="shared" si="5"/>
        <v>1.4376007626600955E-2</v>
      </c>
      <c r="K32" s="16">
        <f t="shared" si="5"/>
        <v>1.4376007626600955E-2</v>
      </c>
    </row>
    <row r="33" spans="2:11" x14ac:dyDescent="0.2">
      <c r="B33" t="s">
        <v>179</v>
      </c>
      <c r="D33" s="16">
        <f>D121/D60</f>
        <v>1.2229539040451553E-2</v>
      </c>
      <c r="E33" s="16">
        <f t="shared" ref="E33:F33" si="25">E121/E60</f>
        <v>-2.3080151070079733E-3</v>
      </c>
      <c r="F33" s="16">
        <f t="shared" si="25"/>
        <v>7.0149799050054805E-3</v>
      </c>
      <c r="G33" s="16">
        <f t="shared" si="23"/>
        <v>5.6455012794830199E-3</v>
      </c>
      <c r="H33" s="16">
        <f t="shared" si="8"/>
        <v>5.6455012794830199E-3</v>
      </c>
      <c r="I33" s="16">
        <f t="shared" si="5"/>
        <v>5.6455012794830199E-3</v>
      </c>
      <c r="J33" s="16">
        <f t="shared" si="5"/>
        <v>5.6455012794830199E-3</v>
      </c>
      <c r="K33" s="16">
        <f t="shared" si="5"/>
        <v>5.6455012794830199E-3</v>
      </c>
    </row>
    <row r="35" spans="2:11" x14ac:dyDescent="0.2">
      <c r="B35" t="s">
        <v>180</v>
      </c>
      <c r="D35" s="4">
        <f>D128</f>
        <v>-170</v>
      </c>
      <c r="E35" s="4">
        <f t="shared" ref="E35:F35" si="26">E128</f>
        <v>67</v>
      </c>
      <c r="F35" s="4">
        <f t="shared" si="26"/>
        <v>82</v>
      </c>
      <c r="G35" s="4">
        <v>-75</v>
      </c>
      <c r="H35" s="4">
        <v>-75</v>
      </c>
      <c r="I35" s="4">
        <v>-75</v>
      </c>
      <c r="J35" s="4">
        <v>-75</v>
      </c>
      <c r="K35" s="4">
        <v>-75</v>
      </c>
    </row>
    <row r="37" spans="2:11" x14ac:dyDescent="0.2">
      <c r="B37" t="s">
        <v>181</v>
      </c>
      <c r="D37" s="16">
        <f>D134/D81</f>
        <v>-0.24621212121212122</v>
      </c>
      <c r="E37" s="16">
        <f t="shared" ref="E37:F37" si="27">E134/E81</f>
        <v>-0.27676056338028171</v>
      </c>
      <c r="F37" s="16">
        <f t="shared" si="27"/>
        <v>-0.33966398831263694</v>
      </c>
      <c r="G37" s="15">
        <v>-0.35</v>
      </c>
      <c r="H37" s="15">
        <v>-0.36</v>
      </c>
      <c r="I37" s="15">
        <v>-0.38</v>
      </c>
      <c r="J37" s="15">
        <v>-0.39</v>
      </c>
      <c r="K37" s="15">
        <v>-0.4</v>
      </c>
    </row>
    <row r="38" spans="2:11" x14ac:dyDescent="0.2">
      <c r="B38" t="s">
        <v>182</v>
      </c>
      <c r="D38" s="16">
        <f>D136/D82</f>
        <v>-0.99333333333333329</v>
      </c>
      <c r="E38" s="16">
        <f t="shared" ref="E38:F38" si="28">E136/E82</f>
        <v>-0.89080459770114939</v>
      </c>
      <c r="F38" s="16">
        <f t="shared" si="28"/>
        <v>-1.0172413793103448</v>
      </c>
      <c r="G38" s="16">
        <f t="shared" ref="G38" si="29">AVERAGE(D38:F38)</f>
        <v>-0.96712643678160914</v>
      </c>
      <c r="H38" s="16">
        <f t="shared" ref="H38:K38" si="30">$G38</f>
        <v>-0.96712643678160914</v>
      </c>
      <c r="I38" s="16">
        <f t="shared" si="30"/>
        <v>-0.96712643678160914</v>
      </c>
      <c r="J38" s="16">
        <f t="shared" si="30"/>
        <v>-0.96712643678160914</v>
      </c>
      <c r="K38" s="16">
        <f t="shared" si="30"/>
        <v>-0.96712643678160914</v>
      </c>
    </row>
    <row r="40" spans="2:11" x14ac:dyDescent="0.2">
      <c r="B40" t="s">
        <v>183</v>
      </c>
      <c r="D40" s="16">
        <f>D140/D60</f>
        <v>4.6252743806835996E-3</v>
      </c>
      <c r="E40" s="16">
        <f t="shared" ref="E40:F40" si="31">E140/E60</f>
        <v>-3.0074136242831165E-3</v>
      </c>
      <c r="F40" s="16">
        <f t="shared" si="31"/>
        <v>-1.1472415052977712E-2</v>
      </c>
      <c r="G40" s="16">
        <v>0</v>
      </c>
      <c r="H40" s="16">
        <v>0</v>
      </c>
      <c r="I40" s="16">
        <v>0</v>
      </c>
      <c r="J40" s="16">
        <v>0</v>
      </c>
      <c r="K40" s="16">
        <v>0</v>
      </c>
    </row>
    <row r="41" spans="2:11" x14ac:dyDescent="0.2">
      <c r="D41" s="16"/>
      <c r="E41" s="16"/>
      <c r="F41" s="16"/>
      <c r="G41" s="16"/>
      <c r="H41" s="16"/>
      <c r="I41" s="16"/>
      <c r="J41" s="16"/>
      <c r="K41" s="16"/>
    </row>
    <row r="42" spans="2:11" x14ac:dyDescent="0.2">
      <c r="B42" t="s">
        <v>184</v>
      </c>
      <c r="D42" s="12">
        <v>3000</v>
      </c>
      <c r="E42" s="12">
        <v>3000</v>
      </c>
      <c r="F42" s="12">
        <v>3000</v>
      </c>
      <c r="G42" s="16"/>
      <c r="H42" s="16"/>
      <c r="I42" s="16"/>
      <c r="J42" s="16"/>
      <c r="K42" s="16"/>
    </row>
    <row r="43" spans="2:11" x14ac:dyDescent="0.2">
      <c r="B43" t="s">
        <v>185</v>
      </c>
      <c r="D43" s="16"/>
      <c r="E43" s="16"/>
      <c r="F43" s="16"/>
      <c r="G43" s="12">
        <f>F89+G123+G129+G134+G136+G140-$F$42</f>
        <v>-528.00039670884053</v>
      </c>
      <c r="H43" s="12">
        <f t="shared" ref="H43:K43" si="32">G89+H123+H129+H134+H136+H140-$F$42</f>
        <v>997.36512353366379</v>
      </c>
      <c r="I43" s="12">
        <f t="shared" si="32"/>
        <v>1061.0220994384094</v>
      </c>
      <c r="J43" s="12">
        <f t="shared" si="32"/>
        <v>1111.7096345755481</v>
      </c>
      <c r="K43" s="12">
        <f t="shared" si="32"/>
        <v>1170.416277995685</v>
      </c>
    </row>
    <row r="44" spans="2:11" x14ac:dyDescent="0.2">
      <c r="B44" t="s">
        <v>186</v>
      </c>
      <c r="D44" s="16"/>
      <c r="E44" s="16"/>
      <c r="F44" s="16">
        <v>0.75</v>
      </c>
      <c r="G44" s="16"/>
      <c r="H44" s="2"/>
      <c r="I44" s="16"/>
      <c r="J44" s="16"/>
      <c r="K44" s="16"/>
    </row>
    <row r="45" spans="2:11" x14ac:dyDescent="0.2">
      <c r="B45" t="s">
        <v>187</v>
      </c>
      <c r="D45" s="16"/>
      <c r="E45" s="16"/>
      <c r="F45" s="16">
        <v>0.25</v>
      </c>
      <c r="G45" s="16"/>
      <c r="H45" s="16"/>
      <c r="I45" s="16"/>
      <c r="J45" s="16"/>
      <c r="K45" s="16"/>
    </row>
    <row r="46" spans="2:11" x14ac:dyDescent="0.2">
      <c r="D46" s="16"/>
      <c r="E46" s="16"/>
      <c r="F46" s="16"/>
      <c r="G46" s="16"/>
      <c r="H46" s="16"/>
      <c r="I46" s="16"/>
      <c r="J46" s="16"/>
      <c r="K46" s="16"/>
    </row>
    <row r="47" spans="2:11" x14ac:dyDescent="0.2">
      <c r="B47" t="s">
        <v>188</v>
      </c>
      <c r="D47" s="16"/>
      <c r="E47" s="16"/>
      <c r="F47" s="16"/>
      <c r="G47" s="12">
        <f>IF(G43&lt;0,-G43,-G43*$F$45)</f>
        <v>528.00039670884053</v>
      </c>
      <c r="H47" s="12">
        <f t="shared" ref="H47:K47" si="33">IF(H43&lt;0,-H43,-H43*$F$45)</f>
        <v>-249.34128088341595</v>
      </c>
      <c r="I47" s="12">
        <f t="shared" si="33"/>
        <v>-265.25552485960236</v>
      </c>
      <c r="J47" s="12">
        <f t="shared" si="33"/>
        <v>-277.92740864388702</v>
      </c>
      <c r="K47" s="12">
        <f t="shared" si="33"/>
        <v>-292.60406949892126</v>
      </c>
    </row>
    <row r="48" spans="2:11" x14ac:dyDescent="0.2">
      <c r="B48" t="s">
        <v>189</v>
      </c>
      <c r="D48" s="16"/>
      <c r="E48" s="16"/>
      <c r="F48" s="16"/>
      <c r="G48" s="12">
        <f>-MAX(G43,0)*$F$44</f>
        <v>0</v>
      </c>
      <c r="H48" s="12">
        <f t="shared" ref="H48:K48" si="34">-MAX(H43,0)*$F$44</f>
        <v>-748.02384265024784</v>
      </c>
      <c r="I48" s="12">
        <f t="shared" si="34"/>
        <v>-795.76657457880708</v>
      </c>
      <c r="J48" s="12">
        <f t="shared" si="34"/>
        <v>-833.78222593166106</v>
      </c>
      <c r="K48" s="12">
        <f t="shared" si="34"/>
        <v>-877.81220849676379</v>
      </c>
    </row>
    <row r="49" spans="2:11" x14ac:dyDescent="0.2">
      <c r="D49" s="16"/>
      <c r="E49" s="16"/>
      <c r="F49" s="16"/>
      <c r="G49" s="16"/>
      <c r="H49" s="16"/>
      <c r="I49" s="16"/>
      <c r="J49" s="16"/>
      <c r="K49" s="16"/>
    </row>
    <row r="50" spans="2:11" x14ac:dyDescent="0.2">
      <c r="B50" t="s">
        <v>190</v>
      </c>
      <c r="D50" s="16">
        <f>D137/D133</f>
        <v>-1.073146124096183</v>
      </c>
      <c r="E50" s="16">
        <f t="shared" ref="E50:F50" si="35">E137/E133</f>
        <v>-3.2000000000000001E-2</v>
      </c>
      <c r="F50" s="16">
        <f t="shared" si="35"/>
        <v>4.7338501291989665</v>
      </c>
      <c r="G50" s="16">
        <v>0.03</v>
      </c>
      <c r="H50" s="16">
        <v>0.03</v>
      </c>
      <c r="I50" s="16">
        <v>0.03</v>
      </c>
      <c r="J50" s="16">
        <v>0.03</v>
      </c>
      <c r="K50" s="16">
        <v>0.03</v>
      </c>
    </row>
    <row r="51" spans="2:11" x14ac:dyDescent="0.2">
      <c r="D51" s="16"/>
      <c r="E51" s="16"/>
      <c r="F51" s="16"/>
      <c r="G51" s="16"/>
      <c r="H51" s="16"/>
      <c r="I51" s="16"/>
      <c r="J51" s="16"/>
      <c r="K51" s="16"/>
    </row>
    <row r="52" spans="2:11" x14ac:dyDescent="0.2">
      <c r="B52" t="s">
        <v>191</v>
      </c>
      <c r="D52" s="16">
        <f>D76/D101</f>
        <v>2.0459500251551233E-2</v>
      </c>
      <c r="E52" s="16">
        <f t="shared" ref="E52:F52" si="36">E76/E101</f>
        <v>1.8699298776295888E-2</v>
      </c>
      <c r="F52" s="16">
        <f t="shared" si="36"/>
        <v>2.1128841607565011E-2</v>
      </c>
      <c r="G52" s="16">
        <v>2.5000000000000001E-2</v>
      </c>
      <c r="H52" s="16">
        <v>2.75E-2</v>
      </c>
      <c r="I52" s="16">
        <v>0.03</v>
      </c>
      <c r="J52" s="16">
        <v>0.03</v>
      </c>
      <c r="K52" s="16">
        <v>0.03</v>
      </c>
    </row>
    <row r="53" spans="2:11" x14ac:dyDescent="0.2">
      <c r="D53" s="16"/>
      <c r="E53" s="16"/>
      <c r="F53" s="16"/>
      <c r="G53" s="16"/>
      <c r="H53" s="16"/>
      <c r="I53" s="16"/>
      <c r="J53" s="16"/>
      <c r="K53" s="16"/>
    </row>
    <row r="54" spans="2:11" x14ac:dyDescent="0.2">
      <c r="D54" s="16"/>
      <c r="E54" s="16"/>
      <c r="F54" s="16"/>
      <c r="G54" s="16"/>
      <c r="H54" s="16"/>
      <c r="I54" s="16"/>
      <c r="J54" s="16"/>
      <c r="K54" s="16"/>
    </row>
    <row r="56" spans="2:11" x14ac:dyDescent="0.2">
      <c r="B56" s="6" t="s">
        <v>99</v>
      </c>
      <c r="C56" s="6"/>
      <c r="D56" s="7">
        <v>44196</v>
      </c>
      <c r="E56" s="7">
        <f>EOMONTH(D56,12)</f>
        <v>44561</v>
      </c>
      <c r="F56" s="7">
        <f>EOMONTH(E56,12)</f>
        <v>44926</v>
      </c>
      <c r="G56" s="7">
        <f t="shared" ref="G56:K56" si="37">EOMONTH(F56,12)</f>
        <v>45291</v>
      </c>
      <c r="H56" s="7">
        <f t="shared" si="37"/>
        <v>45657</v>
      </c>
      <c r="I56" s="7">
        <f t="shared" si="37"/>
        <v>46022</v>
      </c>
      <c r="J56" s="7">
        <f t="shared" si="37"/>
        <v>46387</v>
      </c>
      <c r="K56" s="7">
        <f t="shared" si="37"/>
        <v>46752</v>
      </c>
    </row>
    <row r="58" spans="2:11" x14ac:dyDescent="0.2">
      <c r="B58" s="9" t="s">
        <v>100</v>
      </c>
      <c r="D58" s="4">
        <f>IS!D4</f>
        <v>5371</v>
      </c>
      <c r="E58" s="4">
        <f>IS!E4</f>
        <v>6428</v>
      </c>
      <c r="F58" s="4">
        <f>IS!F4</f>
        <v>5864</v>
      </c>
      <c r="G58" s="4">
        <f>G4*G7</f>
        <v>6162.7553684210534</v>
      </c>
      <c r="H58" s="4">
        <f>H4*H7</f>
        <v>6444.8940126315792</v>
      </c>
      <c r="I58" s="4">
        <f>I4*I7</f>
        <v>6739.2329866105265</v>
      </c>
      <c r="J58" s="4">
        <f>J4*J7</f>
        <v>7012.2406902517896</v>
      </c>
      <c r="K58" s="4">
        <f>K4*K7</f>
        <v>7260.1481894021044</v>
      </c>
    </row>
    <row r="59" spans="2:11" x14ac:dyDescent="0.2">
      <c r="B59" s="10" t="s">
        <v>101</v>
      </c>
      <c r="C59" s="11"/>
      <c r="D59" s="13">
        <f>IS!D5</f>
        <v>7385</v>
      </c>
      <c r="E59" s="13">
        <f>IS!E5</f>
        <v>7870</v>
      </c>
      <c r="F59" s="13">
        <f>IS!F5</f>
        <v>7821</v>
      </c>
      <c r="G59" s="13">
        <f>G9*G12</f>
        <v>8459.1936000000005</v>
      </c>
      <c r="H59" s="13">
        <f t="shared" ref="H59:K59" si="38">H9*H12</f>
        <v>9105.4759910399989</v>
      </c>
      <c r="I59" s="13">
        <f t="shared" si="38"/>
        <v>9801.1343567554559</v>
      </c>
      <c r="J59" s="13">
        <f t="shared" si="38"/>
        <v>10498.975122956444</v>
      </c>
      <c r="K59" s="13">
        <f t="shared" si="38"/>
        <v>11246.502151710944</v>
      </c>
    </row>
    <row r="60" spans="2:11" x14ac:dyDescent="0.2">
      <c r="B60" s="8" t="s">
        <v>102</v>
      </c>
      <c r="D60" s="14">
        <f>SUM(D58:D59)</f>
        <v>12756</v>
      </c>
      <c r="E60" s="14">
        <f t="shared" ref="E60:F60" si="39">SUM(E58:E59)</f>
        <v>14298</v>
      </c>
      <c r="F60" s="14">
        <f t="shared" si="39"/>
        <v>13685</v>
      </c>
      <c r="G60" s="14">
        <f>SUM(G58:G59)</f>
        <v>14621.948968421053</v>
      </c>
      <c r="H60" s="14">
        <f t="shared" ref="H60:K60" si="40">SUM(H58:H59)</f>
        <v>15550.370003671578</v>
      </c>
      <c r="I60" s="14">
        <f t="shared" si="40"/>
        <v>16540.367343365982</v>
      </c>
      <c r="J60" s="14">
        <f t="shared" si="40"/>
        <v>17511.215813208233</v>
      </c>
      <c r="K60" s="14">
        <f t="shared" si="40"/>
        <v>18506.650341113047</v>
      </c>
    </row>
    <row r="61" spans="2:11" x14ac:dyDescent="0.2">
      <c r="D61" s="4"/>
      <c r="E61" s="4"/>
      <c r="F61" s="4"/>
      <c r="G61" s="16"/>
      <c r="H61" s="16"/>
      <c r="I61" s="16"/>
      <c r="J61" s="16"/>
      <c r="K61" s="16"/>
    </row>
    <row r="62" spans="2:11" x14ac:dyDescent="0.2">
      <c r="B62" s="9" t="s">
        <v>103</v>
      </c>
      <c r="D62" s="4">
        <f>IS!D8</f>
        <v>4439</v>
      </c>
      <c r="E62" s="4">
        <f>IS!E8</f>
        <v>5293</v>
      </c>
      <c r="F62" s="4">
        <f>IS!F8</f>
        <v>4949</v>
      </c>
      <c r="G62" s="4">
        <f t="shared" ref="G62:K63" si="41">G58*G15</f>
        <v>5123.0316327612618</v>
      </c>
      <c r="H62" s="4">
        <f t="shared" si="41"/>
        <v>5357.5704246986134</v>
      </c>
      <c r="I62" s="4">
        <f t="shared" si="41"/>
        <v>5602.2512183214467</v>
      </c>
      <c r="J62" s="4">
        <f t="shared" si="41"/>
        <v>5829.1995584922233</v>
      </c>
      <c r="K62" s="4">
        <f t="shared" si="41"/>
        <v>6035.2823711661904</v>
      </c>
    </row>
    <row r="63" spans="2:11" x14ac:dyDescent="0.2">
      <c r="B63" s="10" t="s">
        <v>104</v>
      </c>
      <c r="C63" s="11"/>
      <c r="D63" s="13">
        <f>IS!D9</f>
        <v>4538</v>
      </c>
      <c r="E63" s="13">
        <f>IS!E9</f>
        <v>4812</v>
      </c>
      <c r="F63" s="13">
        <f>IS!F9</f>
        <v>4816</v>
      </c>
      <c r="G63" s="13">
        <f t="shared" si="41"/>
        <v>5193.1065487517235</v>
      </c>
      <c r="H63" s="13">
        <f t="shared" si="41"/>
        <v>5589.8598890763533</v>
      </c>
      <c r="I63" s="13">
        <f t="shared" si="41"/>
        <v>6016.9251846017878</v>
      </c>
      <c r="J63" s="13">
        <f t="shared" si="41"/>
        <v>6445.3302577454351</v>
      </c>
      <c r="K63" s="13">
        <f t="shared" si="41"/>
        <v>6904.2377720969098</v>
      </c>
    </row>
    <row r="64" spans="2:11" x14ac:dyDescent="0.2">
      <c r="B64" s="8" t="s">
        <v>105</v>
      </c>
      <c r="D64" s="14">
        <f>SUM(D62:D63)</f>
        <v>8977</v>
      </c>
      <c r="E64" s="14">
        <f t="shared" ref="E64:F64" si="42">SUM(E62:E63)</f>
        <v>10105</v>
      </c>
      <c r="F64" s="14">
        <f t="shared" si="42"/>
        <v>9765</v>
      </c>
      <c r="G64" s="14">
        <f>SUM(G62:G63)</f>
        <v>10316.138181512986</v>
      </c>
      <c r="H64" s="14">
        <f t="shared" ref="H64:K64" si="43">SUM(H62:H63)</f>
        <v>10947.430313774967</v>
      </c>
      <c r="I64" s="14">
        <f t="shared" si="43"/>
        <v>11619.176402923234</v>
      </c>
      <c r="J64" s="14">
        <f t="shared" si="43"/>
        <v>12274.529816237658</v>
      </c>
      <c r="K64" s="14">
        <f t="shared" si="43"/>
        <v>12939.5201432631</v>
      </c>
    </row>
    <row r="65" spans="2:11" x14ac:dyDescent="0.2">
      <c r="D65" s="4"/>
      <c r="E65" s="4"/>
      <c r="F65" s="4"/>
      <c r="G65" s="16"/>
      <c r="H65" s="16"/>
      <c r="I65" s="16"/>
      <c r="J65" s="16"/>
      <c r="K65" s="16"/>
    </row>
    <row r="66" spans="2:11" x14ac:dyDescent="0.2">
      <c r="B66" s="8" t="s">
        <v>106</v>
      </c>
      <c r="D66" s="14">
        <f>D60-D64</f>
        <v>3779</v>
      </c>
      <c r="E66" s="14">
        <f t="shared" ref="E66:F66" si="44">E60-E64</f>
        <v>4193</v>
      </c>
      <c r="F66" s="14">
        <f t="shared" si="44"/>
        <v>3920</v>
      </c>
      <c r="G66" s="14">
        <f t="shared" ref="G66:K66" si="45">G60-G64</f>
        <v>4305.8107869080668</v>
      </c>
      <c r="H66" s="14">
        <f t="shared" si="45"/>
        <v>4602.9396898966115</v>
      </c>
      <c r="I66" s="14">
        <f t="shared" si="45"/>
        <v>4921.1909404427479</v>
      </c>
      <c r="J66" s="14">
        <f t="shared" si="45"/>
        <v>5236.6859969705747</v>
      </c>
      <c r="K66" s="14">
        <f t="shared" si="45"/>
        <v>5567.1301978499469</v>
      </c>
    </row>
    <row r="67" spans="2:11" x14ac:dyDescent="0.2">
      <c r="B67" s="17" t="s">
        <v>107</v>
      </c>
      <c r="C67" s="18"/>
      <c r="D67" s="19">
        <f>D66/D60</f>
        <v>0.29625274380683597</v>
      </c>
      <c r="E67" s="19">
        <f t="shared" ref="E67:G67" si="46">E66/E60</f>
        <v>0.2932577982934676</v>
      </c>
      <c r="F67" s="19">
        <f t="shared" si="46"/>
        <v>0.28644501278772377</v>
      </c>
      <c r="G67" s="19">
        <f t="shared" si="46"/>
        <v>0.29447584560767542</v>
      </c>
      <c r="H67" s="19">
        <f t="shared" ref="H67" si="47">H66/H60</f>
        <v>0.29600194007022451</v>
      </c>
      <c r="I67" s="19">
        <f t="shared" ref="I67" si="48">I66/I60</f>
        <v>0.29752609711032452</v>
      </c>
      <c r="J67" s="19">
        <f t="shared" ref="J67" si="49">J66/J60</f>
        <v>0.2990475391789007</v>
      </c>
      <c r="K67" s="19">
        <f t="shared" ref="K67" si="50">K66/K60</f>
        <v>0.30081781928318002</v>
      </c>
    </row>
    <row r="68" spans="2:11" x14ac:dyDescent="0.2">
      <c r="D68" s="4"/>
      <c r="E68" s="4"/>
      <c r="F68" s="4"/>
      <c r="G68" s="4"/>
      <c r="H68" s="4"/>
      <c r="I68" s="4"/>
      <c r="J68" s="4"/>
      <c r="K68" s="4"/>
    </row>
    <row r="69" spans="2:11" x14ac:dyDescent="0.2">
      <c r="B69" s="10" t="s">
        <v>108</v>
      </c>
      <c r="C69" s="11"/>
      <c r="D69" s="13">
        <f>IS!D10+IS!D11</f>
        <v>2076</v>
      </c>
      <c r="E69" s="13">
        <f>IS!E10+IS!E11</f>
        <v>2107</v>
      </c>
      <c r="F69" s="13">
        <f>IS!F10+IS!F11</f>
        <v>1913</v>
      </c>
      <c r="G69" s="13">
        <f>G60*G17</f>
        <v>2192.7966580436364</v>
      </c>
      <c r="H69" s="13">
        <f>H60*H17</f>
        <v>2332.0283396581431</v>
      </c>
      <c r="I69" s="13">
        <f>I60*I17</f>
        <v>2480.4943794892479</v>
      </c>
      <c r="J69" s="13">
        <f>J60*J17</f>
        <v>2626.088737993342</v>
      </c>
      <c r="K69" s="13">
        <f>K60*K17</f>
        <v>2775.3701717341569</v>
      </c>
    </row>
    <row r="70" spans="2:11" x14ac:dyDescent="0.2">
      <c r="B70" s="8" t="s">
        <v>109</v>
      </c>
      <c r="D70" s="14">
        <f>D66-D69</f>
        <v>1703</v>
      </c>
      <c r="E70" s="14">
        <f t="shared" ref="E70:G70" si="51">E66-E69</f>
        <v>2086</v>
      </c>
      <c r="F70" s="14">
        <f t="shared" si="51"/>
        <v>2007</v>
      </c>
      <c r="G70" s="14">
        <f t="shared" si="51"/>
        <v>2113.0141288644304</v>
      </c>
      <c r="H70" s="14">
        <f t="shared" ref="H70" si="52">H66-H69</f>
        <v>2270.9113502384685</v>
      </c>
      <c r="I70" s="14">
        <f t="shared" ref="I70" si="53">I66-I69</f>
        <v>2440.6965609535</v>
      </c>
      <c r="J70" s="14">
        <f t="shared" ref="J70" si="54">J66-J69</f>
        <v>2610.5972589772327</v>
      </c>
      <c r="K70" s="14">
        <f t="shared" ref="K70" si="55">K66-K69</f>
        <v>2791.76002611579</v>
      </c>
    </row>
    <row r="71" spans="2:11" x14ac:dyDescent="0.2">
      <c r="D71" s="4"/>
      <c r="E71" s="4"/>
      <c r="F71" s="4"/>
      <c r="G71" s="4"/>
      <c r="H71" s="4"/>
      <c r="I71" s="4"/>
      <c r="J71" s="4"/>
      <c r="K71" s="4"/>
    </row>
    <row r="72" spans="2:11" x14ac:dyDescent="0.2">
      <c r="B72" s="10" t="s">
        <v>110</v>
      </c>
      <c r="C72" s="11"/>
      <c r="D72" s="13">
        <f>IS!D13</f>
        <v>-64</v>
      </c>
      <c r="E72" s="13">
        <f>IS!E13</f>
        <v>22</v>
      </c>
      <c r="F72" s="13">
        <f>IS!F13</f>
        <v>26</v>
      </c>
      <c r="G72" s="13">
        <f>AVERAGE(D72:F72)</f>
        <v>-5.333333333333333</v>
      </c>
      <c r="H72" s="13">
        <f>$G72</f>
        <v>-5.333333333333333</v>
      </c>
      <c r="I72" s="13">
        <f t="shared" ref="I72:K72" si="56">$G72</f>
        <v>-5.333333333333333</v>
      </c>
      <c r="J72" s="13">
        <f t="shared" si="56"/>
        <v>-5.333333333333333</v>
      </c>
      <c r="K72" s="13">
        <f t="shared" si="56"/>
        <v>-5.333333333333333</v>
      </c>
    </row>
    <row r="73" spans="2:11" x14ac:dyDescent="0.2">
      <c r="B73" s="8" t="s">
        <v>111</v>
      </c>
      <c r="D73" s="14">
        <f>D70+D72</f>
        <v>1639</v>
      </c>
      <c r="E73" s="14">
        <f t="shared" ref="E73:F73" si="57">E70+E72</f>
        <v>2108</v>
      </c>
      <c r="F73" s="14">
        <f t="shared" si="57"/>
        <v>2033</v>
      </c>
      <c r="G73" s="14">
        <f t="shared" ref="G73" si="58">G70+G72</f>
        <v>2107.6807955310969</v>
      </c>
      <c r="H73" s="14">
        <f t="shared" ref="H73" si="59">H70+H72</f>
        <v>2265.578016905135</v>
      </c>
      <c r="I73" s="14">
        <f t="shared" ref="I73" si="60">I70+I72</f>
        <v>2435.3632276201665</v>
      </c>
      <c r="J73" s="14">
        <f t="shared" ref="J73" si="61">J70+J72</f>
        <v>2605.2639256438993</v>
      </c>
      <c r="K73" s="14">
        <f t="shared" ref="K73" si="62">K70+K72</f>
        <v>2786.4266927824565</v>
      </c>
    </row>
    <row r="74" spans="2:11" x14ac:dyDescent="0.2">
      <c r="D74" s="4"/>
      <c r="E74" s="4"/>
      <c r="F74" s="4"/>
      <c r="G74" s="4"/>
      <c r="H74" s="4"/>
      <c r="I74" s="4"/>
      <c r="J74" s="4"/>
      <c r="K74" s="4"/>
    </row>
    <row r="75" spans="2:11" x14ac:dyDescent="0.2">
      <c r="B75" s="9" t="s">
        <v>112</v>
      </c>
      <c r="D75" s="4">
        <f>IS!D15</f>
        <v>6</v>
      </c>
      <c r="E75" s="4">
        <f>IS!E15</f>
        <v>11</v>
      </c>
      <c r="F75" s="4">
        <f>IS!F15</f>
        <v>2</v>
      </c>
      <c r="G75" s="4">
        <f>AVERAGE(D75:F75)</f>
        <v>6.333333333333333</v>
      </c>
      <c r="H75" s="4">
        <f>$G75</f>
        <v>6.333333333333333</v>
      </c>
      <c r="I75" s="4">
        <f t="shared" ref="I75:K75" si="63">$G75</f>
        <v>6.333333333333333</v>
      </c>
      <c r="J75" s="4">
        <f t="shared" si="63"/>
        <v>6.333333333333333</v>
      </c>
      <c r="K75" s="4">
        <f t="shared" si="63"/>
        <v>6.333333333333333</v>
      </c>
    </row>
    <row r="76" spans="2:11" x14ac:dyDescent="0.2">
      <c r="B76" s="10" t="s">
        <v>113</v>
      </c>
      <c r="C76" s="11"/>
      <c r="D76" s="13">
        <f>IS!D16</f>
        <v>122</v>
      </c>
      <c r="E76" s="13">
        <f>IS!E16</f>
        <v>136</v>
      </c>
      <c r="F76" s="13">
        <f>IS!F16</f>
        <v>143</v>
      </c>
      <c r="G76" s="13">
        <f>F101*G52</f>
        <v>169.20000000000002</v>
      </c>
      <c r="H76" s="13">
        <f t="shared" ref="H76:K76" si="64">G101*H52</f>
        <v>200.64001090949313</v>
      </c>
      <c r="I76" s="13">
        <f t="shared" si="64"/>
        <v>211.39977347476275</v>
      </c>
      <c r="J76" s="13">
        <f t="shared" si="64"/>
        <v>203.44210772897466</v>
      </c>
      <c r="K76" s="13">
        <f t="shared" si="64"/>
        <v>195.10428546965804</v>
      </c>
    </row>
    <row r="77" spans="2:11" x14ac:dyDescent="0.2">
      <c r="B77" s="8" t="s">
        <v>114</v>
      </c>
      <c r="D77" s="14">
        <f>D73-D75-D76</f>
        <v>1511</v>
      </c>
      <c r="E77" s="14">
        <f t="shared" ref="E77:F77" si="65">E73-E75-E76</f>
        <v>1961</v>
      </c>
      <c r="F77" s="14">
        <f t="shared" si="65"/>
        <v>1888</v>
      </c>
      <c r="G77" s="14">
        <f t="shared" ref="G77" si="66">G73-G75-G76</f>
        <v>1932.1474621977634</v>
      </c>
      <c r="H77" s="14">
        <f t="shared" ref="H77" si="67">H73-H75-H76</f>
        <v>2058.6046726623085</v>
      </c>
      <c r="I77" s="14">
        <f t="shared" ref="I77" si="68">I73-I75-I76</f>
        <v>2217.6301208120703</v>
      </c>
      <c r="J77" s="14">
        <f t="shared" ref="J77" si="69">J73-J75-J76</f>
        <v>2395.4884845815909</v>
      </c>
      <c r="K77" s="14">
        <f t="shared" ref="K77" si="70">K73-K75-K76</f>
        <v>2584.989073979465</v>
      </c>
    </row>
    <row r="78" spans="2:11" x14ac:dyDescent="0.2">
      <c r="D78" s="4"/>
      <c r="E78" s="4"/>
      <c r="F78" s="4"/>
      <c r="G78" s="4"/>
      <c r="H78" s="4"/>
      <c r="I78" s="4"/>
      <c r="J78" s="4"/>
      <c r="K78" s="4"/>
    </row>
    <row r="79" spans="2:11" x14ac:dyDescent="0.2">
      <c r="B79" s="9" t="s">
        <v>118</v>
      </c>
      <c r="D79" s="4">
        <f>IS!D18</f>
        <v>455</v>
      </c>
      <c r="E79" s="4">
        <f>IS!E18</f>
        <v>541</v>
      </c>
      <c r="F79" s="4">
        <f>IS!F18</f>
        <v>519</v>
      </c>
      <c r="G79" s="4">
        <f>G77*G19</f>
        <v>548.66470391231599</v>
      </c>
      <c r="H79" s="4">
        <f>H77*H19</f>
        <v>584.5742860195669</v>
      </c>
      <c r="I79" s="4">
        <f>I77*I19</f>
        <v>629.73214903503572</v>
      </c>
      <c r="J79" s="4">
        <f>J77*J19</f>
        <v>680.23792481310875</v>
      </c>
      <c r="K79" s="4">
        <f>K77*K19</f>
        <v>734.04969995315344</v>
      </c>
    </row>
    <row r="80" spans="2:11" x14ac:dyDescent="0.2">
      <c r="D80" s="4"/>
      <c r="E80" s="4"/>
      <c r="F80" s="4"/>
      <c r="G80" s="4"/>
      <c r="H80" s="4"/>
      <c r="I80" s="4"/>
      <c r="J80" s="4"/>
      <c r="K80" s="4"/>
    </row>
    <row r="81" spans="2:11" x14ac:dyDescent="0.2">
      <c r="B81" s="8" t="s">
        <v>115</v>
      </c>
      <c r="D81" s="14">
        <f>D77-D79</f>
        <v>1056</v>
      </c>
      <c r="E81" s="14">
        <f t="shared" ref="E81:K81" si="71">E77-E79</f>
        <v>1420</v>
      </c>
      <c r="F81" s="14">
        <f t="shared" si="71"/>
        <v>1369</v>
      </c>
      <c r="G81" s="14">
        <f t="shared" si="71"/>
        <v>1383.4827582854473</v>
      </c>
      <c r="H81" s="14">
        <f t="shared" si="71"/>
        <v>1474.0303866427416</v>
      </c>
      <c r="I81" s="14">
        <f t="shared" si="71"/>
        <v>1587.8979717770346</v>
      </c>
      <c r="J81" s="14">
        <f t="shared" si="71"/>
        <v>1715.2505597684822</v>
      </c>
      <c r="K81" s="14">
        <f t="shared" si="71"/>
        <v>1850.9393740263117</v>
      </c>
    </row>
    <row r="82" spans="2:11" x14ac:dyDescent="0.2">
      <c r="B82" s="10" t="s">
        <v>116</v>
      </c>
      <c r="C82" s="11"/>
      <c r="D82" s="13">
        <f>IS!D20</f>
        <v>150</v>
      </c>
      <c r="E82" s="13">
        <f>IS!E20</f>
        <v>174</v>
      </c>
      <c r="F82" s="13">
        <f>IS!F20</f>
        <v>116</v>
      </c>
      <c r="G82" s="13">
        <f>G81*G20</f>
        <v>161.0899874729038</v>
      </c>
      <c r="H82" s="13">
        <f>H81*H20</f>
        <v>171.63317366761615</v>
      </c>
      <c r="I82" s="13">
        <f>I81*I20</f>
        <v>184.89168936143332</v>
      </c>
      <c r="J82" s="13">
        <f>J81*J20</f>
        <v>199.7203720329895</v>
      </c>
      <c r="K82" s="13">
        <f>K81*K20</f>
        <v>215.51970835149609</v>
      </c>
    </row>
    <row r="83" spans="2:11" x14ac:dyDescent="0.2">
      <c r="B83" s="8" t="s">
        <v>117</v>
      </c>
      <c r="D83" s="14">
        <f>D81-D82</f>
        <v>906</v>
      </c>
      <c r="E83" s="14">
        <f t="shared" ref="E83:G83" si="72">E81-E82</f>
        <v>1246</v>
      </c>
      <c r="F83" s="14">
        <f t="shared" si="72"/>
        <v>1253</v>
      </c>
      <c r="G83" s="14">
        <f t="shared" si="72"/>
        <v>1222.3927708125434</v>
      </c>
      <c r="H83" s="14">
        <f t="shared" ref="H83" si="73">H81-H82</f>
        <v>1302.3972129751255</v>
      </c>
      <c r="I83" s="14">
        <f t="shared" ref="I83" si="74">I81-I82</f>
        <v>1403.0062824156014</v>
      </c>
      <c r="J83" s="14">
        <f t="shared" ref="J83" si="75">J81-J82</f>
        <v>1515.5301877354927</v>
      </c>
      <c r="K83" s="14">
        <f t="shared" ref="K83" si="76">K81-K82</f>
        <v>1635.4196656748156</v>
      </c>
    </row>
    <row r="86" spans="2:11" x14ac:dyDescent="0.2">
      <c r="B86" s="6" t="s">
        <v>119</v>
      </c>
      <c r="C86" s="6"/>
      <c r="D86" s="7">
        <f>D$56</f>
        <v>44196</v>
      </c>
      <c r="E86" s="7">
        <f t="shared" ref="E86:K86" si="77">E$56</f>
        <v>44561</v>
      </c>
      <c r="F86" s="7">
        <f t="shared" si="77"/>
        <v>44926</v>
      </c>
      <c r="G86" s="7">
        <f t="shared" si="77"/>
        <v>45291</v>
      </c>
      <c r="H86" s="7">
        <f t="shared" si="77"/>
        <v>45657</v>
      </c>
      <c r="I86" s="7">
        <f t="shared" si="77"/>
        <v>46022</v>
      </c>
      <c r="J86" s="7">
        <f t="shared" si="77"/>
        <v>46387</v>
      </c>
      <c r="K86" s="7">
        <f t="shared" si="77"/>
        <v>46752</v>
      </c>
    </row>
    <row r="88" spans="2:11" x14ac:dyDescent="0.2">
      <c r="B88" s="8" t="s">
        <v>120</v>
      </c>
    </row>
    <row r="89" spans="2:11" x14ac:dyDescent="0.2">
      <c r="B89" s="9" t="s">
        <v>121</v>
      </c>
      <c r="D89" s="12">
        <f>BS!D4+BS!D5</f>
        <v>1799</v>
      </c>
      <c r="E89" s="12">
        <f>BS!E4+BS!E5</f>
        <v>3475</v>
      </c>
      <c r="F89" s="12">
        <f>BS!F4+BS!F5</f>
        <v>1194</v>
      </c>
      <c r="G89" s="12">
        <f>F89+G142</f>
        <v>2984.1599880987351</v>
      </c>
      <c r="H89" s="12">
        <f t="shared" ref="H89:K89" si="78">G89+H142</f>
        <v>2999.9999999999995</v>
      </c>
      <c r="I89" s="12">
        <f t="shared" si="78"/>
        <v>3000.0000000000005</v>
      </c>
      <c r="J89" s="12">
        <f t="shared" si="78"/>
        <v>2999.9999999999995</v>
      </c>
      <c r="K89" s="12">
        <f t="shared" si="78"/>
        <v>3000</v>
      </c>
    </row>
    <row r="90" spans="2:11" x14ac:dyDescent="0.2">
      <c r="B90" s="9" t="s">
        <v>122</v>
      </c>
      <c r="D90" s="12">
        <f>BS!D6</f>
        <v>3148</v>
      </c>
      <c r="E90" s="12">
        <f>BS!E6</f>
        <v>3232</v>
      </c>
      <c r="F90" s="12">
        <f>BS!F6</f>
        <v>3357</v>
      </c>
      <c r="G90" s="12">
        <f>G60*G22</f>
        <v>3500.1851124842528</v>
      </c>
      <c r="H90" s="12">
        <f>H60*H22</f>
        <v>3722.4294584821323</v>
      </c>
      <c r="I90" s="12">
        <f>I60*I22</f>
        <v>3959.4138685140019</v>
      </c>
      <c r="J90" s="12">
        <f>J60*J22</f>
        <v>4191.8144443851752</v>
      </c>
      <c r="K90" s="12">
        <f>K60*K22</f>
        <v>4430.1004021976423</v>
      </c>
    </row>
    <row r="91" spans="2:11" x14ac:dyDescent="0.2">
      <c r="B91" s="9" t="s">
        <v>123</v>
      </c>
      <c r="D91" s="12">
        <f>BS!D8+BS!D7+BS!D9</f>
        <v>1546</v>
      </c>
      <c r="E91" s="12">
        <f>BS!E8+BS!E7+BS!E9</f>
        <v>1554</v>
      </c>
      <c r="F91" s="12">
        <f>BS!F8+BS!F7+BS!F9</f>
        <v>1592</v>
      </c>
      <c r="G91" s="12">
        <f>G64*G23</f>
        <v>1681.648743047009</v>
      </c>
      <c r="H91" s="12">
        <f>H64*H23</f>
        <v>1784.5565950003966</v>
      </c>
      <c r="I91" s="12">
        <f>I64*I23</f>
        <v>1894.0589055149358</v>
      </c>
      <c r="J91" s="12">
        <f>J64*J23</f>
        <v>2000.8890220140281</v>
      </c>
      <c r="K91" s="12">
        <f>K64*K23</f>
        <v>2109.2900658837939</v>
      </c>
    </row>
    <row r="92" spans="2:11" x14ac:dyDescent="0.2">
      <c r="B92" s="9" t="s">
        <v>124</v>
      </c>
      <c r="D92" s="12">
        <f>BS!D11+BS!D13+BS!D14</f>
        <v>3031</v>
      </c>
      <c r="E92" s="12">
        <f>BS!E11+BS!E13+BS!E14</f>
        <v>2860</v>
      </c>
      <c r="F92" s="12">
        <f>BS!F11+BS!F13+BS!F14</f>
        <v>2655</v>
      </c>
      <c r="G92" s="12">
        <f>F92-G127-G120</f>
        <v>2608.8538375497678</v>
      </c>
      <c r="H92" s="12">
        <f t="shared" ref="H92:K92" si="79">G92-H127-H120</f>
        <v>2559.7776232981373</v>
      </c>
      <c r="I92" s="12">
        <f t="shared" si="79"/>
        <v>2507.5770254119102</v>
      </c>
      <c r="J92" s="12">
        <f t="shared" si="79"/>
        <v>2452.3124767964982</v>
      </c>
      <c r="K92" s="12">
        <f t="shared" si="79"/>
        <v>2393.906385043952</v>
      </c>
    </row>
    <row r="93" spans="2:11" x14ac:dyDescent="0.2">
      <c r="B93" s="9" t="s">
        <v>125</v>
      </c>
      <c r="D93" s="12">
        <f>BS!D12</f>
        <v>542</v>
      </c>
      <c r="E93" s="12">
        <f>BS!E12</f>
        <v>526</v>
      </c>
      <c r="F93" s="12">
        <f>BS!F12</f>
        <v>449</v>
      </c>
      <c r="G93" s="12">
        <f>G69*G24</f>
        <v>544.86093969222338</v>
      </c>
      <c r="H93" s="12">
        <f>H69*H24</f>
        <v>579.4568994229769</v>
      </c>
      <c r="I93" s="12">
        <f>I69*I24</f>
        <v>616.34739069494469</v>
      </c>
      <c r="J93" s="12">
        <f>J69*J24</f>
        <v>652.52433336650199</v>
      </c>
      <c r="K93" s="12">
        <f>K69*K24</f>
        <v>689.61743179323457</v>
      </c>
    </row>
    <row r="94" spans="2:11" x14ac:dyDescent="0.2">
      <c r="B94" s="10" t="s">
        <v>126</v>
      </c>
      <c r="C94" s="11"/>
      <c r="D94" s="20">
        <f>BS!D10+BS!D15</f>
        <v>644</v>
      </c>
      <c r="E94" s="20">
        <f>BS!E10+BS!E15</f>
        <v>632</v>
      </c>
      <c r="F94" s="20">
        <f>BS!F10+BS!F15</f>
        <v>572</v>
      </c>
      <c r="G94" s="20">
        <f>F94-G128-G121</f>
        <v>564.4517683902435</v>
      </c>
      <c r="H94" s="20">
        <f t="shared" ref="H94:K94" si="80">G94-H128-H121</f>
        <v>551.66213463808117</v>
      </c>
      <c r="I94" s="20">
        <f t="shared" si="80"/>
        <v>533.28346963798936</v>
      </c>
      <c r="J94" s="20">
        <f t="shared" si="80"/>
        <v>509.42387835921897</v>
      </c>
      <c r="K94" s="20">
        <f t="shared" si="80"/>
        <v>479.94456017952041</v>
      </c>
    </row>
    <row r="95" spans="2:11" x14ac:dyDescent="0.2">
      <c r="B95" s="8" t="s">
        <v>127</v>
      </c>
      <c r="D95" s="22">
        <f>SUM(D89:D94)</f>
        <v>10710</v>
      </c>
      <c r="E95" s="22">
        <f t="shared" ref="E95:G95" si="81">SUM(E89:E94)</f>
        <v>12279</v>
      </c>
      <c r="F95" s="22">
        <f t="shared" si="81"/>
        <v>9819</v>
      </c>
      <c r="G95" s="22">
        <f t="shared" si="81"/>
        <v>11884.160389262232</v>
      </c>
      <c r="H95" s="22">
        <f t="shared" ref="H95" si="82">SUM(H89:H94)</f>
        <v>12197.882710841724</v>
      </c>
      <c r="I95" s="22">
        <f t="shared" ref="I95" si="83">SUM(I89:I94)</f>
        <v>12510.680659773781</v>
      </c>
      <c r="J95" s="22">
        <f t="shared" ref="J95" si="84">SUM(J89:J94)</f>
        <v>12806.964154921421</v>
      </c>
      <c r="K95" s="22">
        <f t="shared" ref="K95" si="85">SUM(K89:K94)</f>
        <v>13102.858845098142</v>
      </c>
    </row>
    <row r="96" spans="2:11" x14ac:dyDescent="0.2">
      <c r="D96" s="12"/>
      <c r="E96" s="12"/>
      <c r="F96" s="12"/>
      <c r="G96" s="12"/>
      <c r="H96" s="12"/>
      <c r="I96" s="12"/>
      <c r="J96" s="12"/>
      <c r="K96" s="12"/>
    </row>
    <row r="97" spans="2:11" x14ac:dyDescent="0.2">
      <c r="B97" s="8" t="s">
        <v>128</v>
      </c>
      <c r="D97" s="12"/>
      <c r="E97" s="12"/>
      <c r="F97" s="12"/>
      <c r="G97" s="12"/>
      <c r="H97" s="12"/>
      <c r="I97" s="12"/>
      <c r="J97" s="12"/>
      <c r="K97" s="12"/>
    </row>
    <row r="98" spans="2:11" x14ac:dyDescent="0.2">
      <c r="B98" s="9" t="s">
        <v>129</v>
      </c>
      <c r="D98" s="12">
        <f>BS!D19</f>
        <v>1453</v>
      </c>
      <c r="E98" s="12">
        <f>BS!E19</f>
        <v>1556</v>
      </c>
      <c r="F98" s="12">
        <f>BS!F19</f>
        <v>1717</v>
      </c>
      <c r="G98" s="12">
        <f>G64*G26</f>
        <v>1690.7232744194821</v>
      </c>
      <c r="H98" s="12">
        <f>H64*H26</f>
        <v>1794.186438851106</v>
      </c>
      <c r="I98" s="12">
        <f>I64*I26</f>
        <v>1904.2796469334228</v>
      </c>
      <c r="J98" s="12">
        <f>J64*J26</f>
        <v>2011.6862412776682</v>
      </c>
      <c r="K98" s="12">
        <f>K64*K26</f>
        <v>2120.6722400480767</v>
      </c>
    </row>
    <row r="99" spans="2:11" x14ac:dyDescent="0.2">
      <c r="B99" s="9" t="s">
        <v>130</v>
      </c>
      <c r="D99" s="12">
        <f>BS!D20</f>
        <v>1977</v>
      </c>
      <c r="E99" s="12">
        <f>BS!E20</f>
        <v>1993</v>
      </c>
      <c r="F99" s="12">
        <f>BS!F20</f>
        <v>1794</v>
      </c>
      <c r="G99" s="12">
        <f>(G69+G64)*G27</f>
        <v>2066.8421010890161</v>
      </c>
      <c r="H99" s="12">
        <f>(H69+H64)*H27</f>
        <v>2194.1551840043999</v>
      </c>
      <c r="I99" s="12">
        <f>(I69+I64)*I27</f>
        <v>2329.6782306700188</v>
      </c>
      <c r="J99" s="12">
        <f>(J69+J64)*J27</f>
        <v>2462.0182417741639</v>
      </c>
      <c r="K99" s="12">
        <f>(K69+K64)*K27</f>
        <v>2596.5597657700819</v>
      </c>
    </row>
    <row r="100" spans="2:11" x14ac:dyDescent="0.2">
      <c r="B100" s="9" t="s">
        <v>140</v>
      </c>
      <c r="D100" s="12">
        <f>BS!D21</f>
        <v>2542</v>
      </c>
      <c r="E100" s="12">
        <f>BS!E21</f>
        <v>2674</v>
      </c>
      <c r="F100" s="12">
        <f>BS!F21</f>
        <v>2662</v>
      </c>
      <c r="G100" s="12">
        <f>(G69+G64)*G28</f>
        <v>2822.4232994404779</v>
      </c>
      <c r="H100" s="12">
        <f>(H69+H64)*H28</f>
        <v>2996.2785791227739</v>
      </c>
      <c r="I100" s="12">
        <f>(I69+I64)*I28</f>
        <v>3181.3451617701189</v>
      </c>
      <c r="J100" s="12">
        <f>(J69+J64)*J28</f>
        <v>3362.0650777190654</v>
      </c>
      <c r="K100" s="12">
        <f>(K69+K64)*K28</f>
        <v>3545.7913197325352</v>
      </c>
    </row>
    <row r="101" spans="2:11" x14ac:dyDescent="0.2">
      <c r="B101" s="9" t="s">
        <v>131</v>
      </c>
      <c r="D101" s="12">
        <f>BS!D18+BS!D22</f>
        <v>5963</v>
      </c>
      <c r="E101" s="12">
        <f>BS!E18+BS!E22</f>
        <v>7273</v>
      </c>
      <c r="F101" s="12">
        <f>BS!F18+BS!F22</f>
        <v>6768</v>
      </c>
      <c r="G101" s="12">
        <f>F101+G133</f>
        <v>7296.0003967088405</v>
      </c>
      <c r="H101" s="12">
        <f t="shared" ref="H101:K101" si="86">G101+H133</f>
        <v>7046.659115825425</v>
      </c>
      <c r="I101" s="12">
        <f t="shared" si="86"/>
        <v>6781.4035909658223</v>
      </c>
      <c r="J101" s="12">
        <f t="shared" si="86"/>
        <v>6503.4761823219351</v>
      </c>
      <c r="K101" s="12">
        <f t="shared" si="86"/>
        <v>6210.8721128230136</v>
      </c>
    </row>
    <row r="102" spans="2:11" x14ac:dyDescent="0.2">
      <c r="B102" s="9" t="s">
        <v>132</v>
      </c>
      <c r="D102" s="12">
        <f>BS!D24</f>
        <v>367</v>
      </c>
      <c r="E102" s="12">
        <f>BS!E24</f>
        <v>336</v>
      </c>
      <c r="F102" s="12">
        <f>BS!F24</f>
        <v>315</v>
      </c>
      <c r="G102" s="12">
        <f>F102+(G93-F93)</f>
        <v>410.86093969222338</v>
      </c>
      <c r="H102" s="12">
        <f t="shared" ref="H102:K102" si="87">G102+(H93-G93)</f>
        <v>445.4568994229769</v>
      </c>
      <c r="I102" s="12">
        <f t="shared" si="87"/>
        <v>482.34739069494469</v>
      </c>
      <c r="J102" s="12">
        <f t="shared" si="87"/>
        <v>518.52433336650199</v>
      </c>
      <c r="K102" s="12">
        <f t="shared" si="87"/>
        <v>555.61743179323457</v>
      </c>
    </row>
    <row r="103" spans="2:11" x14ac:dyDescent="0.2">
      <c r="B103" s="10" t="s">
        <v>133</v>
      </c>
      <c r="C103" s="11"/>
      <c r="D103" s="20">
        <f>BS!D23+BS!D25+BS!D26</f>
        <v>1609</v>
      </c>
      <c r="E103" s="20">
        <f>BS!E23+BS!E25+BS!E26</f>
        <v>1431</v>
      </c>
      <c r="F103" s="20">
        <f>BS!F23+BS!F25+BS!F26</f>
        <v>1227</v>
      </c>
      <c r="G103" s="20">
        <f>(G69+G64)*G29</f>
        <v>1533.6809825137791</v>
      </c>
      <c r="H103" s="20">
        <f>(H69+H64)*H29</f>
        <v>1628.1524730982037</v>
      </c>
      <c r="I103" s="20">
        <f>(I69+I64)*I29</f>
        <v>1728.716091022317</v>
      </c>
      <c r="J103" s="20">
        <f>(J69+J64)*J29</f>
        <v>1826.9177669747987</v>
      </c>
      <c r="K103" s="20">
        <f>(K69+K64)*K29</f>
        <v>1926.7530551190832</v>
      </c>
    </row>
    <row r="104" spans="2:11" x14ac:dyDescent="0.2">
      <c r="B104" s="8" t="s">
        <v>134</v>
      </c>
      <c r="D104" s="22">
        <f>SUM(D98:D103)</f>
        <v>13911</v>
      </c>
      <c r="E104" s="22">
        <f t="shared" ref="E104:G104" si="88">SUM(E98:E103)</f>
        <v>15263</v>
      </c>
      <c r="F104" s="22">
        <f t="shared" si="88"/>
        <v>14483</v>
      </c>
      <c r="G104" s="22">
        <f t="shared" si="88"/>
        <v>15820.530993863818</v>
      </c>
      <c r="H104" s="22">
        <f t="shared" ref="H104" si="89">SUM(H98:H103)</f>
        <v>16104.888690324886</v>
      </c>
      <c r="I104" s="22">
        <f t="shared" ref="I104" si="90">SUM(I98:I103)</f>
        <v>16407.770112056645</v>
      </c>
      <c r="J104" s="22">
        <f t="shared" ref="J104" si="91">SUM(J98:J103)</f>
        <v>16684.687843434134</v>
      </c>
      <c r="K104" s="22">
        <f t="shared" ref="K104" si="92">SUM(K98:K103)</f>
        <v>16956.265925286025</v>
      </c>
    </row>
    <row r="105" spans="2:11" x14ac:dyDescent="0.2">
      <c r="D105" s="12"/>
      <c r="E105" s="12"/>
      <c r="F105" s="12"/>
      <c r="G105" s="12"/>
      <c r="H105" s="12"/>
      <c r="I105" s="12"/>
      <c r="J105" s="12"/>
      <c r="K105" s="12"/>
    </row>
    <row r="106" spans="2:11" x14ac:dyDescent="0.2">
      <c r="B106" s="9" t="s">
        <v>135</v>
      </c>
      <c r="D106" s="12">
        <f>BS!D31+BS!D32+BS!D33+BS!D34</f>
        <v>-3862</v>
      </c>
      <c r="E106" s="12">
        <f>BS!E31+BS!E32+BS!E33+BS!E34</f>
        <v>-3625</v>
      </c>
      <c r="F106" s="12">
        <f>BS!F31+BS!F32+BS!F33+BS!F34</f>
        <v>-4870</v>
      </c>
      <c r="G106" s="12">
        <f>F106+G118+G134+G135+G137+G140</f>
        <v>-4147.6662064886277</v>
      </c>
      <c r="H106" s="12">
        <f t="shared" ref="H106:K106" si="93">G106+H118+H134+H135+H137+H140</f>
        <v>-4123.9437753551374</v>
      </c>
      <c r="I106" s="12">
        <f t="shared" si="93"/>
        <v>-4120.1052967936166</v>
      </c>
      <c r="J106" s="12">
        <f t="shared" si="93"/>
        <v>-4107.305053299493</v>
      </c>
      <c r="K106" s="12">
        <f t="shared" si="93"/>
        <v>-4090.0733457319657</v>
      </c>
    </row>
    <row r="107" spans="2:11" x14ac:dyDescent="0.2">
      <c r="B107" s="10" t="s">
        <v>136</v>
      </c>
      <c r="C107" s="11"/>
      <c r="D107" s="20">
        <f>BS!D29+BS!D36</f>
        <v>661</v>
      </c>
      <c r="E107" s="20">
        <f>BS!E29+BS!E36</f>
        <v>641</v>
      </c>
      <c r="F107" s="20">
        <f>BS!F29+BS!F36</f>
        <v>206</v>
      </c>
      <c r="G107" s="20">
        <f>F107+G119+G136</f>
        <v>211.29560188704028</v>
      </c>
      <c r="H107" s="20">
        <f t="shared" ref="H107:K107" si="94">G107+H119+H136</f>
        <v>216.93779587197574</v>
      </c>
      <c r="I107" s="20">
        <f t="shared" si="94"/>
        <v>223.01584451075391</v>
      </c>
      <c r="J107" s="20">
        <f t="shared" si="94"/>
        <v>229.58136478678094</v>
      </c>
      <c r="K107" s="20">
        <f t="shared" si="94"/>
        <v>236.66626554408299</v>
      </c>
    </row>
    <row r="108" spans="2:11" x14ac:dyDescent="0.2">
      <c r="B108" s="8" t="s">
        <v>137</v>
      </c>
      <c r="D108" s="22">
        <f>SUM(D106:D107)</f>
        <v>-3201</v>
      </c>
      <c r="E108" s="22">
        <f t="shared" ref="E108:F108" si="95">SUM(E106:E107)</f>
        <v>-2984</v>
      </c>
      <c r="F108" s="22">
        <f t="shared" si="95"/>
        <v>-4664</v>
      </c>
      <c r="G108" s="22">
        <f t="shared" ref="G108" si="96">SUM(G106:G107)</f>
        <v>-3936.3706046015873</v>
      </c>
      <c r="H108" s="22">
        <f t="shared" ref="H108" si="97">SUM(H106:H107)</f>
        <v>-3907.0059794831618</v>
      </c>
      <c r="I108" s="22">
        <f t="shared" ref="I108" si="98">SUM(I106:I107)</f>
        <v>-3897.0894522828626</v>
      </c>
      <c r="J108" s="22">
        <f t="shared" ref="J108" si="99">SUM(J106:J107)</f>
        <v>-3877.7236885127122</v>
      </c>
      <c r="K108" s="22">
        <f t="shared" ref="K108" si="100">SUM(K106:K107)</f>
        <v>-3853.4070801878825</v>
      </c>
    </row>
    <row r="109" spans="2:11" x14ac:dyDescent="0.2">
      <c r="D109" s="12"/>
      <c r="E109" s="12"/>
      <c r="F109" s="12"/>
      <c r="G109" s="12"/>
      <c r="H109" s="12"/>
      <c r="I109" s="12"/>
      <c r="J109" s="12"/>
      <c r="K109" s="12"/>
    </row>
    <row r="110" spans="2:11" x14ac:dyDescent="0.2">
      <c r="B110" s="8" t="s">
        <v>138</v>
      </c>
      <c r="D110" s="22">
        <f>D104+D108</f>
        <v>10710</v>
      </c>
      <c r="E110" s="22">
        <f t="shared" ref="E110:F110" si="101">E104+E108</f>
        <v>12279</v>
      </c>
      <c r="F110" s="22">
        <f t="shared" si="101"/>
        <v>9819</v>
      </c>
      <c r="G110" s="22">
        <f t="shared" ref="G110:K110" si="102">G104+G108</f>
        <v>11884.160389262232</v>
      </c>
      <c r="H110" s="22">
        <f t="shared" si="102"/>
        <v>12197.882710841724</v>
      </c>
      <c r="I110" s="22">
        <f t="shared" si="102"/>
        <v>12510.680659773783</v>
      </c>
      <c r="J110" s="22">
        <f t="shared" si="102"/>
        <v>12806.964154921421</v>
      </c>
      <c r="K110" s="22">
        <f t="shared" si="102"/>
        <v>13102.858845098142</v>
      </c>
    </row>
    <row r="111" spans="2:11" x14ac:dyDescent="0.2">
      <c r="B111" s="8"/>
      <c r="D111" s="12"/>
      <c r="E111" s="12"/>
      <c r="F111" s="12"/>
      <c r="G111" s="12"/>
      <c r="H111" s="12"/>
      <c r="I111" s="12"/>
      <c r="J111" s="12"/>
      <c r="K111" s="12"/>
    </row>
    <row r="112" spans="2:11" x14ac:dyDescent="0.2">
      <c r="B112" s="8" t="s">
        <v>139</v>
      </c>
      <c r="D112" s="23" t="str">
        <f>IF(D95=D110,"OK","CHECK!")</f>
        <v>OK</v>
      </c>
      <c r="E112" s="23" t="str">
        <f t="shared" ref="E112:F112" si="103">IF(E95=E110,"OK","CHECK!")</f>
        <v>OK</v>
      </c>
      <c r="F112" s="23" t="str">
        <f t="shared" si="103"/>
        <v>OK</v>
      </c>
      <c r="G112" s="23" t="str">
        <f t="shared" ref="G112:K112" si="104">IF(G95=G110,"OK","CHECK!")</f>
        <v>OK</v>
      </c>
      <c r="H112" s="23" t="str">
        <f t="shared" si="104"/>
        <v>OK</v>
      </c>
      <c r="I112" s="23" t="str">
        <f t="shared" si="104"/>
        <v>OK</v>
      </c>
      <c r="J112" s="23" t="str">
        <f t="shared" si="104"/>
        <v>OK</v>
      </c>
      <c r="K112" s="23" t="str">
        <f t="shared" si="104"/>
        <v>OK</v>
      </c>
    </row>
    <row r="115" spans="2:11" x14ac:dyDescent="0.2">
      <c r="B115" s="6" t="s">
        <v>141</v>
      </c>
      <c r="C115" s="6"/>
      <c r="D115" s="7">
        <f>D$56</f>
        <v>44196</v>
      </c>
      <c r="E115" s="7">
        <f t="shared" ref="E115:K115" si="105">E$56</f>
        <v>44561</v>
      </c>
      <c r="F115" s="7">
        <f t="shared" si="105"/>
        <v>44926</v>
      </c>
      <c r="G115" s="7">
        <f t="shared" si="105"/>
        <v>45291</v>
      </c>
      <c r="H115" s="7">
        <f t="shared" si="105"/>
        <v>45657</v>
      </c>
      <c r="I115" s="7">
        <f t="shared" si="105"/>
        <v>46022</v>
      </c>
      <c r="J115" s="7">
        <f t="shared" si="105"/>
        <v>46387</v>
      </c>
      <c r="K115" s="7">
        <f t="shared" si="105"/>
        <v>46752</v>
      </c>
    </row>
    <row r="117" spans="2:11" x14ac:dyDescent="0.2">
      <c r="B117" s="8" t="s">
        <v>142</v>
      </c>
    </row>
    <row r="118" spans="2:11" x14ac:dyDescent="0.2">
      <c r="B118" s="9" t="s">
        <v>117</v>
      </c>
      <c r="D118" s="4">
        <f>D83</f>
        <v>906</v>
      </c>
      <c r="E118" s="4">
        <f t="shared" ref="E118:K118" si="106">E83</f>
        <v>1246</v>
      </c>
      <c r="F118" s="4">
        <f t="shared" si="106"/>
        <v>1253</v>
      </c>
      <c r="G118" s="4">
        <f t="shared" si="106"/>
        <v>1222.3927708125434</v>
      </c>
      <c r="H118" s="4">
        <f t="shared" si="106"/>
        <v>1302.3972129751255</v>
      </c>
      <c r="I118" s="4">
        <f t="shared" si="106"/>
        <v>1403.0062824156014</v>
      </c>
      <c r="J118" s="4">
        <f t="shared" si="106"/>
        <v>1515.5301877354927</v>
      </c>
      <c r="K118" s="4">
        <f t="shared" si="106"/>
        <v>1635.4196656748156</v>
      </c>
    </row>
    <row r="119" spans="2:11" x14ac:dyDescent="0.2">
      <c r="B119" s="9" t="s">
        <v>143</v>
      </c>
      <c r="D119" s="4">
        <f>D82</f>
        <v>150</v>
      </c>
      <c r="E119" s="4">
        <f t="shared" ref="E119:K119" si="107">E82</f>
        <v>174</v>
      </c>
      <c r="F119" s="4">
        <f t="shared" si="107"/>
        <v>116</v>
      </c>
      <c r="G119" s="4">
        <f t="shared" si="107"/>
        <v>161.0899874729038</v>
      </c>
      <c r="H119" s="4">
        <f t="shared" si="107"/>
        <v>171.63317366761615</v>
      </c>
      <c r="I119" s="4">
        <f t="shared" si="107"/>
        <v>184.89168936143332</v>
      </c>
      <c r="J119" s="4">
        <f t="shared" si="107"/>
        <v>199.7203720329895</v>
      </c>
      <c r="K119" s="4">
        <f t="shared" si="107"/>
        <v>215.51970835149609</v>
      </c>
    </row>
    <row r="120" spans="2:11" x14ac:dyDescent="0.2">
      <c r="B120" s="9" t="s">
        <v>144</v>
      </c>
      <c r="D120" s="4">
        <f>CS!D6</f>
        <v>191</v>
      </c>
      <c r="E120" s="4">
        <f>CS!E6</f>
        <v>203</v>
      </c>
      <c r="F120" s="4">
        <f>CS!F6</f>
        <v>191</v>
      </c>
      <c r="G120" s="4">
        <f>G60*G32</f>
        <v>210.20524988579103</v>
      </c>
      <c r="H120" s="4">
        <f>H60*H32</f>
        <v>223.55223776924933</v>
      </c>
      <c r="I120" s="4">
        <f>I60*I32</f>
        <v>237.78444707501075</v>
      </c>
      <c r="J120" s="4">
        <f>J60*J32</f>
        <v>251.74137208173681</v>
      </c>
      <c r="K120" s="4">
        <f>K60*K32</f>
        <v>266.05174644667835</v>
      </c>
    </row>
    <row r="121" spans="2:11" x14ac:dyDescent="0.2">
      <c r="B121" s="9" t="s">
        <v>145</v>
      </c>
      <c r="D121" s="4">
        <f>CS!D7+CS!D8+CS!D9+CS!D17+CS!D18</f>
        <v>156</v>
      </c>
      <c r="E121" s="4">
        <f>CS!E7+CS!E8+CS!E9+CS!E17+CS!E18</f>
        <v>-33</v>
      </c>
      <c r="F121" s="4">
        <f>CS!F7+CS!F8+CS!F9+CS!F17+CS!F18</f>
        <v>96</v>
      </c>
      <c r="G121" s="4">
        <f>G60*G33</f>
        <v>82.548231609756471</v>
      </c>
      <c r="H121" s="4">
        <f>H60*H33</f>
        <v>87.789633752162274</v>
      </c>
      <c r="I121" s="4">
        <f>I60*I33</f>
        <v>93.378665000091814</v>
      </c>
      <c r="J121" s="4">
        <f>J60*J33</f>
        <v>98.859591278770367</v>
      </c>
      <c r="K121" s="4">
        <f>K60*K33</f>
        <v>104.47931817969857</v>
      </c>
    </row>
    <row r="122" spans="2:11" x14ac:dyDescent="0.2">
      <c r="B122" s="10" t="s">
        <v>146</v>
      </c>
      <c r="C122" s="11"/>
      <c r="D122" s="13">
        <f>CS!D11+CS!D12+CS!D13+CS!D14+CS!D15+CS!D16</f>
        <v>77</v>
      </c>
      <c r="E122" s="13">
        <f>CS!E11+CS!E12+CS!E13+CS!E14+CS!E15+CS!E16</f>
        <v>160</v>
      </c>
      <c r="F122" s="13">
        <f>CS!F11+CS!F12+CS!F13+CS!F14+CS!F15+CS!F16</f>
        <v>-96</v>
      </c>
      <c r="G122" s="13">
        <f>F90-G90+F91-G91+F93-G93+G98-F98+G99-F99+G100-F100+G102-F102+G103-F103</f>
        <v>480.83580193149351</v>
      </c>
      <c r="H122" s="13">
        <f t="shared" ref="H122:K122" si="108">G90-H90+G91-H91+G93-H93+H98-G98+H99-G99+H100-G100+H102-G102+H103-G103</f>
        <v>173.95081966246107</v>
      </c>
      <c r="I122" s="13">
        <f t="shared" si="108"/>
        <v>184.75973477298476</v>
      </c>
      <c r="J122" s="13">
        <f t="shared" si="108"/>
        <v>179.43750497955307</v>
      </c>
      <c r="K122" s="13">
        <f t="shared" si="108"/>
        <v>180.40205124184786</v>
      </c>
    </row>
    <row r="123" spans="2:11" x14ac:dyDescent="0.2">
      <c r="B123" s="8" t="s">
        <v>142</v>
      </c>
      <c r="D123" s="14">
        <f>SUM(D118:D122)</f>
        <v>1480</v>
      </c>
      <c r="E123" s="14">
        <f t="shared" ref="E123:G123" si="109">SUM(E118:E122)</f>
        <v>1750</v>
      </c>
      <c r="F123" s="14">
        <f t="shared" si="109"/>
        <v>1560</v>
      </c>
      <c r="G123" s="14">
        <f t="shared" si="109"/>
        <v>2157.0720417124885</v>
      </c>
      <c r="H123" s="14">
        <f t="shared" ref="H123" si="110">SUM(H118:H122)</f>
        <v>1959.3230778266143</v>
      </c>
      <c r="I123" s="14">
        <f t="shared" ref="I123" si="111">SUM(I118:I122)</f>
        <v>2103.8208186251222</v>
      </c>
      <c r="J123" s="14">
        <f t="shared" ref="J123" si="112">SUM(J118:J122)</f>
        <v>2245.2890281085424</v>
      </c>
      <c r="K123" s="14">
        <f t="shared" ref="K123" si="113">SUM(K118:K122)</f>
        <v>2401.8724898945366</v>
      </c>
    </row>
    <row r="124" spans="2:11" x14ac:dyDescent="0.2">
      <c r="D124" s="4"/>
      <c r="E124" s="4"/>
      <c r="F124" s="4"/>
      <c r="G124" s="4"/>
      <c r="H124" s="4"/>
      <c r="I124" s="4"/>
      <c r="J124" s="4"/>
      <c r="K124" s="4"/>
    </row>
    <row r="125" spans="2:11" x14ac:dyDescent="0.2">
      <c r="D125" s="4"/>
      <c r="E125" s="4"/>
      <c r="F125" s="4"/>
      <c r="G125" s="4"/>
      <c r="H125" s="4"/>
      <c r="I125" s="4"/>
      <c r="J125" s="4"/>
      <c r="K125" s="4"/>
    </row>
    <row r="126" spans="2:11" x14ac:dyDescent="0.2">
      <c r="B126" s="8" t="s">
        <v>147</v>
      </c>
      <c r="D126" s="4"/>
      <c r="E126" s="4"/>
      <c r="F126" s="4"/>
      <c r="G126" s="4"/>
      <c r="H126" s="4"/>
      <c r="I126" s="4"/>
      <c r="J126" s="4"/>
      <c r="K126" s="4"/>
    </row>
    <row r="127" spans="2:11" x14ac:dyDescent="0.2">
      <c r="B127" s="9" t="s">
        <v>148</v>
      </c>
      <c r="D127" s="4">
        <f>CS!D22</f>
        <v>-183</v>
      </c>
      <c r="E127" s="4">
        <f>CS!E22</f>
        <v>-156</v>
      </c>
      <c r="F127" s="4">
        <f>CS!F22</f>
        <v>-115</v>
      </c>
      <c r="G127" s="4">
        <f>G60*G31</f>
        <v>-164.05908743555889</v>
      </c>
      <c r="H127" s="4">
        <f>H60*H31</f>
        <v>-174.47602351761839</v>
      </c>
      <c r="I127" s="4">
        <f>I60*I31</f>
        <v>-185.5838491887836</v>
      </c>
      <c r="J127" s="4">
        <f>J60*J31</f>
        <v>-196.47682346632465</v>
      </c>
      <c r="K127" s="4">
        <f>K60*K31</f>
        <v>-207.64565469413225</v>
      </c>
    </row>
    <row r="128" spans="2:11" x14ac:dyDescent="0.2">
      <c r="B128" s="10" t="s">
        <v>149</v>
      </c>
      <c r="C128" s="11"/>
      <c r="D128" s="13">
        <f>CS!D23+CS!D24+CS!D25+CS!D26+CS!D27</f>
        <v>-170</v>
      </c>
      <c r="E128" s="13">
        <f>CS!E23+CS!E24+CS!E25+CS!E26+CS!E27</f>
        <v>67</v>
      </c>
      <c r="F128" s="13">
        <f>CS!F23+CS!F24+CS!F25+CS!F26+CS!F27</f>
        <v>82</v>
      </c>
      <c r="G128" s="13">
        <f>G35</f>
        <v>-75</v>
      </c>
      <c r="H128" s="13">
        <f t="shared" ref="H128:K128" si="114">H35</f>
        <v>-75</v>
      </c>
      <c r="I128" s="13">
        <f t="shared" si="114"/>
        <v>-75</v>
      </c>
      <c r="J128" s="13">
        <f t="shared" si="114"/>
        <v>-75</v>
      </c>
      <c r="K128" s="13">
        <f t="shared" si="114"/>
        <v>-75</v>
      </c>
    </row>
    <row r="129" spans="2:11" x14ac:dyDescent="0.2">
      <c r="B129" s="8" t="s">
        <v>147</v>
      </c>
      <c r="D129" s="14">
        <f>SUM(D127:D128)</f>
        <v>-353</v>
      </c>
      <c r="E129" s="14">
        <f t="shared" ref="E129:G129" si="115">SUM(E127:E128)</f>
        <v>-89</v>
      </c>
      <c r="F129" s="14">
        <f t="shared" si="115"/>
        <v>-33</v>
      </c>
      <c r="G129" s="14">
        <f t="shared" si="115"/>
        <v>-239.05908743555889</v>
      </c>
      <c r="H129" s="14">
        <f t="shared" ref="H129" si="116">SUM(H127:H128)</f>
        <v>-249.47602351761839</v>
      </c>
      <c r="I129" s="14">
        <f t="shared" ref="I129" si="117">SUM(I127:I128)</f>
        <v>-260.58384918878357</v>
      </c>
      <c r="J129" s="14">
        <f t="shared" ref="J129" si="118">SUM(J127:J128)</f>
        <v>-271.47682346632462</v>
      </c>
      <c r="K129" s="14">
        <f t="shared" ref="K129" si="119">SUM(K127:K128)</f>
        <v>-282.64565469413225</v>
      </c>
    </row>
    <row r="130" spans="2:11" x14ac:dyDescent="0.2">
      <c r="D130" s="4"/>
      <c r="E130" s="4"/>
      <c r="F130" s="4"/>
      <c r="G130" s="4"/>
      <c r="H130" s="4"/>
      <c r="I130" s="4"/>
      <c r="J130" s="4"/>
      <c r="K130" s="4"/>
    </row>
    <row r="131" spans="2:11" x14ac:dyDescent="0.2">
      <c r="D131" s="4"/>
      <c r="E131" s="4"/>
      <c r="F131" s="4"/>
      <c r="G131" s="4"/>
      <c r="H131" s="4"/>
      <c r="I131" s="4"/>
      <c r="J131" s="4"/>
      <c r="K131" s="4"/>
    </row>
    <row r="132" spans="2:11" x14ac:dyDescent="0.2">
      <c r="B132" s="8" t="s">
        <v>150</v>
      </c>
      <c r="D132" s="4"/>
      <c r="E132" s="4"/>
      <c r="F132" s="4"/>
      <c r="G132" s="4"/>
      <c r="H132" s="4"/>
      <c r="I132" s="4"/>
      <c r="J132" s="4"/>
      <c r="K132" s="4"/>
    </row>
    <row r="133" spans="2:11" x14ac:dyDescent="0.2">
      <c r="B133" s="9" t="s">
        <v>151</v>
      </c>
      <c r="D133" s="4">
        <f>CS!D30+CS!D31+CS!D32+CS!D33+CS!D35</f>
        <v>5947</v>
      </c>
      <c r="E133" s="4">
        <f>CS!E30+CS!E31+CS!E32+CS!E33+CS!E35</f>
        <v>1375</v>
      </c>
      <c r="F133" s="4">
        <f>CS!F30+CS!F31+CS!F32+CS!F33+CS!F35</f>
        <v>-387</v>
      </c>
      <c r="G133" s="4">
        <f>G47</f>
        <v>528.00039670884053</v>
      </c>
      <c r="H133" s="4">
        <f t="shared" ref="H133:K133" si="120">H47</f>
        <v>-249.34128088341595</v>
      </c>
      <c r="I133" s="4">
        <f t="shared" si="120"/>
        <v>-265.25552485960236</v>
      </c>
      <c r="J133" s="4">
        <f t="shared" si="120"/>
        <v>-277.92740864388702</v>
      </c>
      <c r="K133" s="4">
        <f t="shared" si="120"/>
        <v>-292.60406949892126</v>
      </c>
    </row>
    <row r="134" spans="2:11" x14ac:dyDescent="0.2">
      <c r="B134" s="9" t="s">
        <v>152</v>
      </c>
      <c r="D134" s="4">
        <f>CS!D36</f>
        <v>-260</v>
      </c>
      <c r="E134" s="4">
        <f>CS!E36</f>
        <v>-393</v>
      </c>
      <c r="F134" s="4">
        <f>CS!F36</f>
        <v>-465</v>
      </c>
      <c r="G134" s="4">
        <f>G81*G37</f>
        <v>-484.21896539990649</v>
      </c>
      <c r="H134" s="4">
        <f>H81*H37</f>
        <v>-530.65093919138701</v>
      </c>
      <c r="I134" s="4">
        <f>I81*I37</f>
        <v>-603.40122927527318</v>
      </c>
      <c r="J134" s="4">
        <f>J81*J37</f>
        <v>-668.94771830970808</v>
      </c>
      <c r="K134" s="4">
        <f>K81*K37</f>
        <v>-740.37574961052474</v>
      </c>
    </row>
    <row r="135" spans="2:11" x14ac:dyDescent="0.2">
      <c r="B135" s="9" t="s">
        <v>153</v>
      </c>
      <c r="D135" s="4">
        <f>CS!D37</f>
        <v>0</v>
      </c>
      <c r="E135" s="4">
        <f>CS!E37</f>
        <v>-725</v>
      </c>
      <c r="F135" s="4">
        <f>CS!F37</f>
        <v>-850</v>
      </c>
      <c r="G135" s="4">
        <f>G48</f>
        <v>0</v>
      </c>
      <c r="H135" s="4">
        <f t="shared" ref="H135:K135" si="121">H48</f>
        <v>-748.02384265024784</v>
      </c>
      <c r="I135" s="4">
        <f t="shared" si="121"/>
        <v>-795.76657457880708</v>
      </c>
      <c r="J135" s="4">
        <f t="shared" si="121"/>
        <v>-833.78222593166106</v>
      </c>
      <c r="K135" s="4">
        <f t="shared" si="121"/>
        <v>-877.81220849676379</v>
      </c>
    </row>
    <row r="136" spans="2:11" x14ac:dyDescent="0.2">
      <c r="B136" s="9" t="s">
        <v>154</v>
      </c>
      <c r="D136" s="4">
        <f>CS!D38</f>
        <v>-149</v>
      </c>
      <c r="E136" s="4">
        <f>CS!E38</f>
        <v>-155</v>
      </c>
      <c r="F136" s="4">
        <f>CS!F38</f>
        <v>-118</v>
      </c>
      <c r="G136" s="4">
        <f>G82*G38</f>
        <v>-155.79438558586349</v>
      </c>
      <c r="H136" s="4">
        <f>H82*H38</f>
        <v>-165.99097968268072</v>
      </c>
      <c r="I136" s="4">
        <f>I82*I38</f>
        <v>-178.81364072265515</v>
      </c>
      <c r="J136" s="4">
        <f>J82*J38</f>
        <v>-193.15485175696247</v>
      </c>
      <c r="K136" s="4">
        <f>K82*K38</f>
        <v>-208.43480759419401</v>
      </c>
    </row>
    <row r="137" spans="2:11" x14ac:dyDescent="0.2">
      <c r="B137" s="10" t="s">
        <v>155</v>
      </c>
      <c r="C137" s="11"/>
      <c r="D137" s="13">
        <f>CS!D34+CS!D39+CS!D40+CS!D41</f>
        <v>-6382</v>
      </c>
      <c r="E137" s="13">
        <f>CS!E34+CS!E39+CS!E40+CS!E41</f>
        <v>-44</v>
      </c>
      <c r="F137" s="13">
        <f>CS!F34+CS!F39+CS!F40+CS!F41</f>
        <v>-1832</v>
      </c>
      <c r="G137" s="13">
        <f>-MAX(G133,0)*G50</f>
        <v>-15.840011901265216</v>
      </c>
      <c r="H137" s="13">
        <f t="shared" ref="H137:K137" si="122">-MAX(H133,0)*H50</f>
        <v>0</v>
      </c>
      <c r="I137" s="13">
        <f t="shared" si="122"/>
        <v>0</v>
      </c>
      <c r="J137" s="13">
        <f t="shared" si="122"/>
        <v>0</v>
      </c>
      <c r="K137" s="13">
        <f t="shared" si="122"/>
        <v>0</v>
      </c>
    </row>
    <row r="138" spans="2:11" x14ac:dyDescent="0.2">
      <c r="B138" s="8" t="s">
        <v>150</v>
      </c>
      <c r="D138" s="14">
        <f>SUM(D133:D137)</f>
        <v>-844</v>
      </c>
      <c r="E138" s="14">
        <f t="shared" ref="E138:F138" si="123">SUM(E133:E137)</f>
        <v>58</v>
      </c>
      <c r="F138" s="14">
        <f t="shared" si="123"/>
        <v>-3652</v>
      </c>
      <c r="G138" s="14">
        <f t="shared" ref="G138" si="124">SUM(G133:G137)</f>
        <v>-127.85296617819468</v>
      </c>
      <c r="H138" s="14">
        <f t="shared" ref="H138" si="125">SUM(H133:H137)</f>
        <v>-1694.0070424077314</v>
      </c>
      <c r="I138" s="14">
        <f t="shared" ref="I138" si="126">SUM(I133:I137)</f>
        <v>-1843.2369694363379</v>
      </c>
      <c r="J138" s="14">
        <f t="shared" ref="J138" si="127">SUM(J133:J137)</f>
        <v>-1973.8122046422186</v>
      </c>
      <c r="K138" s="14">
        <f t="shared" ref="K138" si="128">SUM(K133:K137)</f>
        <v>-2119.2268352004039</v>
      </c>
    </row>
    <row r="139" spans="2:11" x14ac:dyDescent="0.2">
      <c r="D139" s="4"/>
      <c r="E139" s="4"/>
      <c r="F139" s="4"/>
      <c r="G139" s="4"/>
      <c r="H139" s="4"/>
      <c r="I139" s="4"/>
      <c r="J139" s="4"/>
      <c r="K139" s="4"/>
    </row>
    <row r="140" spans="2:11" x14ac:dyDescent="0.2">
      <c r="B140" s="24" t="s">
        <v>156</v>
      </c>
      <c r="D140" s="14">
        <f>CS!D44</f>
        <v>59</v>
      </c>
      <c r="E140" s="14">
        <f>CS!E44</f>
        <v>-43</v>
      </c>
      <c r="F140" s="14">
        <f>CS!F44</f>
        <v>-157</v>
      </c>
      <c r="G140" s="14">
        <f>G60*G40</f>
        <v>0</v>
      </c>
      <c r="H140" s="14">
        <f>H60*H40</f>
        <v>0</v>
      </c>
      <c r="I140" s="14">
        <f>I60*I40</f>
        <v>0</v>
      </c>
      <c r="J140" s="14">
        <f>J60*J40</f>
        <v>0</v>
      </c>
      <c r="K140" s="14">
        <f>K60*K40</f>
        <v>0</v>
      </c>
    </row>
    <row r="141" spans="2:11" x14ac:dyDescent="0.2">
      <c r="D141" s="4"/>
      <c r="E141" s="4"/>
      <c r="F141" s="4"/>
      <c r="G141" s="4"/>
      <c r="H141" s="4"/>
      <c r="I141" s="4"/>
      <c r="J141" s="4"/>
      <c r="K141" s="4"/>
    </row>
    <row r="142" spans="2:11" x14ac:dyDescent="0.2">
      <c r="B142" s="8" t="s">
        <v>157</v>
      </c>
      <c r="D142" s="14">
        <f>D123+D129+D138+D140</f>
        <v>342</v>
      </c>
      <c r="E142" s="14">
        <f t="shared" ref="E142:K142" si="129">E123+E129+E138+E140</f>
        <v>1676</v>
      </c>
      <c r="F142" s="14">
        <f t="shared" si="129"/>
        <v>-2282</v>
      </c>
      <c r="G142" s="14">
        <f t="shared" si="129"/>
        <v>1790.1599880987349</v>
      </c>
      <c r="H142" s="14">
        <f t="shared" si="129"/>
        <v>15.840011901264461</v>
      </c>
      <c r="I142" s="14">
        <f t="shared" si="129"/>
        <v>9.0949470177292824E-13</v>
      </c>
      <c r="J142" s="14">
        <f t="shared" si="129"/>
        <v>-9.0949470177292824E-13</v>
      </c>
      <c r="K142" s="14">
        <f t="shared" si="129"/>
        <v>4.5474735088646412E-13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EBDF7-980E-491D-BCA4-30CDF2F69A33}">
  <dimension ref="B2:J21"/>
  <sheetViews>
    <sheetView workbookViewId="0">
      <selection activeCell="B24" sqref="B24"/>
    </sheetView>
  </sheetViews>
  <sheetFormatPr defaultRowHeight="14.25" x14ac:dyDescent="0.2"/>
  <cols>
    <col min="2" max="2" width="51.125" bestFit="1" customWidth="1"/>
    <col min="4" max="6" width="9.75" bestFit="1" customWidth="1"/>
    <col min="7" max="7" width="58" bestFit="1" customWidth="1"/>
    <col min="9" max="10" width="7.375" bestFit="1" customWidth="1"/>
  </cols>
  <sheetData>
    <row r="2" spans="2:10" x14ac:dyDescent="0.2">
      <c r="B2" t="s">
        <v>0</v>
      </c>
      <c r="D2">
        <v>2020</v>
      </c>
      <c r="E2">
        <v>2021</v>
      </c>
      <c r="F2">
        <v>2022</v>
      </c>
    </row>
    <row r="3" spans="2:10" x14ac:dyDescent="0.2">
      <c r="B3" t="s">
        <v>1</v>
      </c>
    </row>
    <row r="4" spans="2:10" x14ac:dyDescent="0.2">
      <c r="B4" t="s">
        <v>2</v>
      </c>
      <c r="D4" s="3">
        <v>5371</v>
      </c>
      <c r="E4" s="3">
        <v>6428</v>
      </c>
      <c r="F4" s="3">
        <v>5864</v>
      </c>
      <c r="I4" s="1"/>
      <c r="J4" s="1"/>
    </row>
    <row r="5" spans="2:10" x14ac:dyDescent="0.2">
      <c r="B5" t="s">
        <v>3</v>
      </c>
      <c r="D5" s="3">
        <v>7385</v>
      </c>
      <c r="E5" s="3">
        <v>7870</v>
      </c>
      <c r="F5" s="3">
        <v>7821</v>
      </c>
      <c r="I5" s="2"/>
      <c r="J5" s="2"/>
    </row>
    <row r="6" spans="2:10" x14ac:dyDescent="0.2">
      <c r="D6" s="3">
        <v>12756</v>
      </c>
      <c r="E6" s="3">
        <v>14298</v>
      </c>
      <c r="F6" s="3">
        <v>13685</v>
      </c>
      <c r="I6" s="2"/>
      <c r="J6" s="2"/>
    </row>
    <row r="7" spans="2:10" x14ac:dyDescent="0.2">
      <c r="B7" t="s">
        <v>4</v>
      </c>
      <c r="D7" s="3"/>
      <c r="E7" s="3"/>
      <c r="F7" s="3"/>
    </row>
    <row r="8" spans="2:10" x14ac:dyDescent="0.2">
      <c r="B8" t="s">
        <v>5</v>
      </c>
      <c r="D8" s="3">
        <v>4439</v>
      </c>
      <c r="E8" s="3">
        <v>5293</v>
      </c>
      <c r="F8" s="3">
        <v>4949</v>
      </c>
      <c r="I8" s="2"/>
      <c r="J8" s="2"/>
    </row>
    <row r="9" spans="2:10" x14ac:dyDescent="0.2">
      <c r="B9" t="s">
        <v>6</v>
      </c>
      <c r="D9" s="3">
        <v>4538</v>
      </c>
      <c r="E9" s="3">
        <v>4812</v>
      </c>
      <c r="F9" s="3">
        <v>4816</v>
      </c>
      <c r="I9" s="2"/>
      <c r="J9" s="2"/>
    </row>
    <row r="10" spans="2:10" x14ac:dyDescent="0.2">
      <c r="B10" t="s">
        <v>7</v>
      </c>
      <c r="D10" s="3">
        <v>152</v>
      </c>
      <c r="E10" s="3">
        <v>159</v>
      </c>
      <c r="F10" s="3">
        <v>150</v>
      </c>
    </row>
    <row r="11" spans="2:10" x14ac:dyDescent="0.2">
      <c r="B11" t="s">
        <v>8</v>
      </c>
      <c r="D11" s="3">
        <v>1924</v>
      </c>
      <c r="E11" s="3">
        <v>1948</v>
      </c>
      <c r="F11" s="3">
        <v>1763</v>
      </c>
      <c r="I11" s="2"/>
      <c r="J11" s="2"/>
    </row>
    <row r="12" spans="2:10" x14ac:dyDescent="0.2">
      <c r="D12" s="3">
        <v>11053</v>
      </c>
      <c r="E12" s="3">
        <v>12212</v>
      </c>
      <c r="F12" s="3">
        <v>11678</v>
      </c>
      <c r="I12" s="2"/>
      <c r="J12" s="2"/>
    </row>
    <row r="13" spans="2:10" x14ac:dyDescent="0.2">
      <c r="B13" t="s">
        <v>9</v>
      </c>
      <c r="D13" s="3">
        <v>-64</v>
      </c>
      <c r="E13" s="3">
        <v>22</v>
      </c>
      <c r="F13" s="3">
        <v>26</v>
      </c>
    </row>
    <row r="14" spans="2:10" x14ac:dyDescent="0.2">
      <c r="B14" t="s">
        <v>10</v>
      </c>
      <c r="D14" s="3">
        <v>1639</v>
      </c>
      <c r="E14" s="3">
        <v>2108</v>
      </c>
      <c r="F14" s="3">
        <v>2033</v>
      </c>
      <c r="I14" s="2"/>
      <c r="J14" s="2"/>
    </row>
    <row r="15" spans="2:10" x14ac:dyDescent="0.2">
      <c r="B15" t="s">
        <v>11</v>
      </c>
      <c r="D15" s="3">
        <v>6</v>
      </c>
      <c r="E15" s="3">
        <v>11</v>
      </c>
      <c r="F15" s="3">
        <v>2</v>
      </c>
    </row>
    <row r="16" spans="2:10" x14ac:dyDescent="0.2">
      <c r="B16" t="s">
        <v>12</v>
      </c>
      <c r="D16" s="3">
        <v>122</v>
      </c>
      <c r="E16" s="3">
        <v>136</v>
      </c>
      <c r="F16" s="3">
        <v>143</v>
      </c>
    </row>
    <row r="17" spans="2:10" x14ac:dyDescent="0.2">
      <c r="B17" t="s">
        <v>13</v>
      </c>
      <c r="D17" s="3">
        <v>1511</v>
      </c>
      <c r="E17" s="3">
        <v>1961</v>
      </c>
      <c r="F17" s="3">
        <v>1888</v>
      </c>
      <c r="I17" s="2"/>
      <c r="J17" s="2"/>
    </row>
    <row r="18" spans="2:10" x14ac:dyDescent="0.2">
      <c r="B18" t="s">
        <v>14</v>
      </c>
      <c r="D18" s="3">
        <v>455</v>
      </c>
      <c r="E18" s="3">
        <v>541</v>
      </c>
      <c r="F18" s="3">
        <v>519</v>
      </c>
    </row>
    <row r="19" spans="2:10" x14ac:dyDescent="0.2">
      <c r="B19" t="s">
        <v>15</v>
      </c>
      <c r="D19" s="3">
        <v>1056</v>
      </c>
      <c r="E19" s="3">
        <v>1420</v>
      </c>
      <c r="F19" s="3">
        <v>1369</v>
      </c>
      <c r="I19" s="2"/>
      <c r="J19" s="2"/>
    </row>
    <row r="20" spans="2:10" x14ac:dyDescent="0.2">
      <c r="B20" t="s">
        <v>16</v>
      </c>
      <c r="D20" s="3">
        <v>150</v>
      </c>
      <c r="E20" s="3">
        <v>174</v>
      </c>
      <c r="F20" s="3">
        <v>116</v>
      </c>
    </row>
    <row r="21" spans="2:10" x14ac:dyDescent="0.2">
      <c r="B21" t="s">
        <v>17</v>
      </c>
      <c r="D21" s="3">
        <v>906</v>
      </c>
      <c r="E21" s="3">
        <v>1246</v>
      </c>
      <c r="F21" s="3">
        <v>1253</v>
      </c>
      <c r="I21" s="1"/>
      <c r="J21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546F8-B2F6-4660-B5B3-A38A36E6605C}">
  <dimension ref="B2:I38"/>
  <sheetViews>
    <sheetView topLeftCell="A19" workbookViewId="0">
      <selection activeCell="D38" sqref="D38"/>
    </sheetView>
  </sheetViews>
  <sheetFormatPr defaultRowHeight="14.25" x14ac:dyDescent="0.2"/>
  <cols>
    <col min="2" max="2" width="75.625" bestFit="1" customWidth="1"/>
    <col min="4" max="6" width="9.75" bestFit="1" customWidth="1"/>
    <col min="7" max="7" width="75.625" bestFit="1" customWidth="1"/>
    <col min="9" max="9" width="8.375" bestFit="1" customWidth="1"/>
  </cols>
  <sheetData>
    <row r="2" spans="2:9" x14ac:dyDescent="0.2">
      <c r="B2" t="s">
        <v>18</v>
      </c>
      <c r="D2">
        <v>2020</v>
      </c>
      <c r="E2">
        <v>2021</v>
      </c>
      <c r="F2">
        <v>2022</v>
      </c>
    </row>
    <row r="3" spans="2:9" x14ac:dyDescent="0.2">
      <c r="B3" t="s">
        <v>19</v>
      </c>
    </row>
    <row r="4" spans="2:9" x14ac:dyDescent="0.2">
      <c r="B4" t="s">
        <v>20</v>
      </c>
      <c r="D4" s="21">
        <v>1782</v>
      </c>
      <c r="E4" s="4">
        <v>1565</v>
      </c>
      <c r="F4" s="4">
        <v>1189</v>
      </c>
      <c r="I4" s="1"/>
    </row>
    <row r="5" spans="2:9" x14ac:dyDescent="0.2">
      <c r="B5" t="s">
        <v>21</v>
      </c>
      <c r="D5" s="21">
        <v>17</v>
      </c>
      <c r="E5" s="4">
        <v>1910</v>
      </c>
      <c r="F5" s="4">
        <v>5</v>
      </c>
      <c r="I5" s="2"/>
    </row>
    <row r="6" spans="2:9" x14ac:dyDescent="0.2">
      <c r="B6" t="s">
        <v>22</v>
      </c>
      <c r="D6" s="21">
        <v>3148</v>
      </c>
      <c r="E6" s="4">
        <v>3232</v>
      </c>
      <c r="F6" s="4">
        <v>3357</v>
      </c>
      <c r="I6" s="2"/>
    </row>
    <row r="7" spans="2:9" x14ac:dyDescent="0.2">
      <c r="B7" t="s">
        <v>23</v>
      </c>
      <c r="D7" s="21">
        <v>458</v>
      </c>
      <c r="E7" s="4">
        <v>550</v>
      </c>
      <c r="F7" s="4">
        <v>664</v>
      </c>
    </row>
    <row r="8" spans="2:9" x14ac:dyDescent="0.2">
      <c r="B8" t="s">
        <v>24</v>
      </c>
      <c r="D8" s="21">
        <v>659</v>
      </c>
      <c r="E8" s="4">
        <v>622</v>
      </c>
      <c r="F8" s="4">
        <v>617</v>
      </c>
    </row>
    <row r="9" spans="2:9" x14ac:dyDescent="0.2">
      <c r="B9" t="s">
        <v>25</v>
      </c>
      <c r="D9" s="21">
        <v>429</v>
      </c>
      <c r="E9" s="4">
        <v>382</v>
      </c>
      <c r="F9" s="4">
        <v>311</v>
      </c>
    </row>
    <row r="10" spans="2:9" x14ac:dyDescent="0.2">
      <c r="B10" t="s">
        <v>26</v>
      </c>
      <c r="D10" s="21">
        <v>334</v>
      </c>
      <c r="E10" s="4">
        <v>335</v>
      </c>
      <c r="F10" s="4">
        <v>285</v>
      </c>
    </row>
    <row r="11" spans="2:9" x14ac:dyDescent="0.2">
      <c r="B11" t="s">
        <v>27</v>
      </c>
      <c r="D11" s="21">
        <v>774</v>
      </c>
      <c r="E11" s="4">
        <v>774</v>
      </c>
      <c r="F11" s="4">
        <v>719</v>
      </c>
    </row>
    <row r="12" spans="2:9" x14ac:dyDescent="0.2">
      <c r="B12" t="s">
        <v>28</v>
      </c>
      <c r="D12" s="21">
        <v>542</v>
      </c>
      <c r="E12" s="4">
        <v>526</v>
      </c>
      <c r="F12" s="4">
        <v>449</v>
      </c>
    </row>
    <row r="13" spans="2:9" x14ac:dyDescent="0.2">
      <c r="B13" t="s">
        <v>29</v>
      </c>
      <c r="D13" s="21">
        <v>484</v>
      </c>
      <c r="E13" s="4">
        <v>419</v>
      </c>
      <c r="F13" s="4">
        <v>369</v>
      </c>
    </row>
    <row r="14" spans="2:9" x14ac:dyDescent="0.2">
      <c r="B14" t="s">
        <v>30</v>
      </c>
      <c r="D14" s="21">
        <v>1773</v>
      </c>
      <c r="E14" s="4">
        <v>1667</v>
      </c>
      <c r="F14" s="4">
        <v>1567</v>
      </c>
      <c r="I14" s="2"/>
    </row>
    <row r="15" spans="2:9" x14ac:dyDescent="0.2">
      <c r="B15" t="s">
        <v>31</v>
      </c>
      <c r="D15" s="21">
        <v>310</v>
      </c>
      <c r="E15" s="4">
        <v>297</v>
      </c>
      <c r="F15" s="4">
        <v>287</v>
      </c>
    </row>
    <row r="16" spans="2:9" x14ac:dyDescent="0.2">
      <c r="B16" t="s">
        <v>32</v>
      </c>
      <c r="D16" s="21">
        <v>10710</v>
      </c>
      <c r="E16" s="4">
        <v>12279</v>
      </c>
      <c r="F16" s="4">
        <v>9819</v>
      </c>
      <c r="I16" s="1"/>
    </row>
    <row r="17" spans="2:9" x14ac:dyDescent="0.2">
      <c r="B17" t="s">
        <v>33</v>
      </c>
      <c r="D17" s="4"/>
      <c r="E17" s="4"/>
      <c r="F17" s="4"/>
    </row>
    <row r="18" spans="2:9" x14ac:dyDescent="0.2">
      <c r="B18" t="s">
        <v>34</v>
      </c>
      <c r="D18" s="21">
        <v>701</v>
      </c>
      <c r="E18" s="4">
        <v>24</v>
      </c>
      <c r="F18" s="4">
        <v>670</v>
      </c>
      <c r="I18" s="1"/>
    </row>
    <row r="19" spans="2:9" x14ac:dyDescent="0.2">
      <c r="B19" t="s">
        <v>35</v>
      </c>
      <c r="D19" s="21">
        <v>1453</v>
      </c>
      <c r="E19" s="4">
        <v>1556</v>
      </c>
      <c r="F19" s="4">
        <v>1717</v>
      </c>
      <c r="I19" s="2"/>
    </row>
    <row r="20" spans="2:9" x14ac:dyDescent="0.2">
      <c r="B20" t="s">
        <v>36</v>
      </c>
      <c r="D20" s="21">
        <v>1977</v>
      </c>
      <c r="E20" s="4">
        <v>1993</v>
      </c>
      <c r="F20" s="4">
        <v>1794</v>
      </c>
      <c r="I20" s="2"/>
    </row>
    <row r="21" spans="2:9" x14ac:dyDescent="0.2">
      <c r="B21" t="s">
        <v>37</v>
      </c>
      <c r="D21" s="21">
        <v>2542</v>
      </c>
      <c r="E21" s="4">
        <v>2674</v>
      </c>
      <c r="F21" s="4">
        <v>2662</v>
      </c>
      <c r="I21" s="2"/>
    </row>
    <row r="22" spans="2:9" x14ac:dyDescent="0.2">
      <c r="B22" t="s">
        <v>38</v>
      </c>
      <c r="D22" s="21">
        <v>5262</v>
      </c>
      <c r="E22" s="4">
        <v>7249</v>
      </c>
      <c r="F22" s="4">
        <v>6098</v>
      </c>
      <c r="I22" s="2"/>
    </row>
    <row r="23" spans="2:9" x14ac:dyDescent="0.2">
      <c r="B23" t="s">
        <v>39</v>
      </c>
      <c r="D23" s="21">
        <v>654</v>
      </c>
      <c r="E23" s="4">
        <v>558</v>
      </c>
      <c r="F23" s="4">
        <v>392</v>
      </c>
    </row>
    <row r="24" spans="2:9" x14ac:dyDescent="0.2">
      <c r="B24" t="s">
        <v>40</v>
      </c>
      <c r="D24" s="21">
        <v>367</v>
      </c>
      <c r="E24" s="4">
        <v>336</v>
      </c>
      <c r="F24" s="4">
        <v>315</v>
      </c>
    </row>
    <row r="25" spans="2:9" x14ac:dyDescent="0.2">
      <c r="B25" t="s">
        <v>41</v>
      </c>
      <c r="D25" s="21">
        <v>321</v>
      </c>
      <c r="E25" s="4">
        <v>267</v>
      </c>
      <c r="F25" s="4">
        <v>279</v>
      </c>
    </row>
    <row r="26" spans="2:9" x14ac:dyDescent="0.2">
      <c r="B26" t="s">
        <v>42</v>
      </c>
      <c r="D26" s="21">
        <v>634</v>
      </c>
      <c r="E26" s="4">
        <v>606</v>
      </c>
      <c r="F26" s="4">
        <v>556</v>
      </c>
    </row>
    <row r="27" spans="2:9" x14ac:dyDescent="0.2">
      <c r="B27" t="s">
        <v>43</v>
      </c>
      <c r="D27" s="21">
        <v>13911</v>
      </c>
      <c r="E27" s="4">
        <v>15263</v>
      </c>
      <c r="F27" s="4">
        <v>14483</v>
      </c>
      <c r="I27" s="2"/>
    </row>
    <row r="28" spans="2:9" x14ac:dyDescent="0.2">
      <c r="B28" t="s">
        <v>44</v>
      </c>
      <c r="D28" s="4"/>
      <c r="E28" s="4"/>
      <c r="F28" s="4"/>
    </row>
    <row r="29" spans="2:9" x14ac:dyDescent="0.2">
      <c r="B29" t="s">
        <v>45</v>
      </c>
      <c r="D29" s="4">
        <v>194</v>
      </c>
      <c r="E29" s="4">
        <v>160</v>
      </c>
      <c r="F29" s="4">
        <v>135</v>
      </c>
    </row>
    <row r="30" spans="2:9" x14ac:dyDescent="0.2">
      <c r="B30" t="s">
        <v>46</v>
      </c>
      <c r="D30" s="4"/>
      <c r="E30" s="4"/>
      <c r="F30" s="4"/>
    </row>
    <row r="31" spans="2:9" x14ac:dyDescent="0.2">
      <c r="B31" t="s">
        <v>47</v>
      </c>
      <c r="D31" s="4">
        <v>59</v>
      </c>
      <c r="E31" s="4">
        <v>119</v>
      </c>
      <c r="F31" s="4">
        <v>162</v>
      </c>
    </row>
    <row r="32" spans="2:9" x14ac:dyDescent="0.2">
      <c r="B32" t="s">
        <v>48</v>
      </c>
      <c r="D32" s="4">
        <v>0</v>
      </c>
      <c r="E32" s="4">
        <v>-725</v>
      </c>
      <c r="F32" s="4">
        <v>-1575</v>
      </c>
    </row>
    <row r="33" spans="2:9" x14ac:dyDescent="0.2">
      <c r="B33" t="s">
        <v>49</v>
      </c>
      <c r="D33" s="4">
        <v>-3106</v>
      </c>
      <c r="E33" s="4">
        <v>-2256</v>
      </c>
      <c r="F33" s="4">
        <v>-2865</v>
      </c>
      <c r="I33" s="2"/>
    </row>
    <row r="34" spans="2:9" x14ac:dyDescent="0.2">
      <c r="B34" t="s">
        <v>50</v>
      </c>
      <c r="D34" s="4">
        <v>-815</v>
      </c>
      <c r="E34" s="4">
        <v>-763</v>
      </c>
      <c r="F34" s="4">
        <v>-592</v>
      </c>
    </row>
    <row r="35" spans="2:9" x14ac:dyDescent="0.2">
      <c r="B35" t="s">
        <v>51</v>
      </c>
      <c r="D35" s="4">
        <v>-3862</v>
      </c>
      <c r="E35" s="4">
        <v>-3625</v>
      </c>
      <c r="F35" s="4">
        <v>-4870</v>
      </c>
      <c r="I35" s="2"/>
    </row>
    <row r="36" spans="2:9" x14ac:dyDescent="0.2">
      <c r="B36" t="s">
        <v>52</v>
      </c>
      <c r="D36" s="4">
        <v>467</v>
      </c>
      <c r="E36" s="4">
        <v>481</v>
      </c>
      <c r="F36" s="4">
        <v>71</v>
      </c>
    </row>
    <row r="37" spans="2:9" x14ac:dyDescent="0.2">
      <c r="B37" t="s">
        <v>53</v>
      </c>
      <c r="D37" s="4">
        <v>-3395</v>
      </c>
      <c r="E37" s="4">
        <v>-3144</v>
      </c>
      <c r="F37" s="4">
        <v>-4799</v>
      </c>
      <c r="I37" s="2"/>
    </row>
    <row r="38" spans="2:9" x14ac:dyDescent="0.2">
      <c r="B38" t="s">
        <v>54</v>
      </c>
      <c r="D38" s="4">
        <v>10710</v>
      </c>
      <c r="E38" s="4">
        <v>12279</v>
      </c>
      <c r="F38" s="4">
        <v>9819</v>
      </c>
      <c r="I38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A9E16-F3B9-49E7-981A-AB55E75FB568}">
  <dimension ref="B2:F52"/>
  <sheetViews>
    <sheetView topLeftCell="A28" zoomScale="85" zoomScaleNormal="85" workbookViewId="0">
      <selection activeCell="F45" sqref="F45"/>
    </sheetView>
  </sheetViews>
  <sheetFormatPr defaultRowHeight="14.25" x14ac:dyDescent="0.2"/>
  <cols>
    <col min="2" max="2" width="70.5" bestFit="1" customWidth="1"/>
    <col min="4" max="4" width="9.25" bestFit="1" customWidth="1"/>
    <col min="5" max="5" width="8.75" bestFit="1" customWidth="1"/>
    <col min="6" max="6" width="10" bestFit="1" customWidth="1"/>
  </cols>
  <sheetData>
    <row r="2" spans="2:6" x14ac:dyDescent="0.2">
      <c r="B2" t="s">
        <v>18</v>
      </c>
      <c r="D2">
        <v>2020</v>
      </c>
      <c r="E2">
        <v>2021</v>
      </c>
      <c r="F2">
        <v>2022</v>
      </c>
    </row>
    <row r="3" spans="2:6" x14ac:dyDescent="0.2">
      <c r="B3" t="s">
        <v>87</v>
      </c>
    </row>
    <row r="4" spans="2:6" x14ac:dyDescent="0.2">
      <c r="B4" t="s">
        <v>15</v>
      </c>
      <c r="D4" s="4">
        <v>1056</v>
      </c>
      <c r="E4" s="4">
        <v>1420</v>
      </c>
      <c r="F4" s="4">
        <v>1369</v>
      </c>
    </row>
    <row r="5" spans="2:6" ht="57" x14ac:dyDescent="0.2">
      <c r="B5" s="5" t="s">
        <v>88</v>
      </c>
      <c r="D5" s="4"/>
      <c r="E5" s="4"/>
      <c r="F5" s="4"/>
    </row>
    <row r="6" spans="2:6" x14ac:dyDescent="0.2">
      <c r="B6" t="s">
        <v>56</v>
      </c>
      <c r="D6" s="4">
        <v>191</v>
      </c>
      <c r="E6" s="4">
        <v>203</v>
      </c>
      <c r="F6" s="4">
        <v>191</v>
      </c>
    </row>
    <row r="7" spans="2:6" x14ac:dyDescent="0.2">
      <c r="B7" t="s">
        <v>57</v>
      </c>
      <c r="D7" s="4">
        <v>-51</v>
      </c>
      <c r="E7" s="4">
        <v>-92</v>
      </c>
      <c r="F7" s="4">
        <v>-16</v>
      </c>
    </row>
    <row r="8" spans="2:6" x14ac:dyDescent="0.2">
      <c r="B8" t="s">
        <v>58</v>
      </c>
      <c r="D8" s="4">
        <v>63</v>
      </c>
      <c r="E8" s="4">
        <v>65</v>
      </c>
      <c r="F8" s="4">
        <v>67</v>
      </c>
    </row>
    <row r="9" spans="2:6" x14ac:dyDescent="0.2">
      <c r="B9" t="s">
        <v>89</v>
      </c>
      <c r="D9" s="4">
        <v>71</v>
      </c>
      <c r="E9" s="4">
        <v>0</v>
      </c>
      <c r="F9" s="4">
        <v>0</v>
      </c>
    </row>
    <row r="10" spans="2:6" x14ac:dyDescent="0.2">
      <c r="B10" t="s">
        <v>59</v>
      </c>
      <c r="D10" s="4"/>
      <c r="E10" s="4"/>
      <c r="F10" s="4"/>
    </row>
    <row r="11" spans="2:6" x14ac:dyDescent="0.2">
      <c r="B11" t="s">
        <v>60</v>
      </c>
      <c r="D11" s="4">
        <v>-163</v>
      </c>
      <c r="E11" s="4">
        <v>-152</v>
      </c>
      <c r="F11" s="4">
        <v>-309</v>
      </c>
    </row>
    <row r="12" spans="2:6" x14ac:dyDescent="0.2">
      <c r="B12" t="s">
        <v>61</v>
      </c>
      <c r="D12" s="4">
        <v>282</v>
      </c>
      <c r="E12" s="4">
        <v>53</v>
      </c>
      <c r="F12" s="4">
        <v>38</v>
      </c>
    </row>
    <row r="13" spans="2:6" x14ac:dyDescent="0.2">
      <c r="B13" t="s">
        <v>55</v>
      </c>
      <c r="D13" s="4">
        <v>-76</v>
      </c>
      <c r="E13" s="4">
        <v>14</v>
      </c>
      <c r="F13" s="4">
        <v>-65</v>
      </c>
    </row>
    <row r="14" spans="2:6" x14ac:dyDescent="0.2">
      <c r="B14" t="s">
        <v>25</v>
      </c>
      <c r="D14" s="4">
        <v>28</v>
      </c>
      <c r="E14" s="4">
        <v>43</v>
      </c>
      <c r="F14" s="4">
        <v>52</v>
      </c>
    </row>
    <row r="15" spans="2:6" x14ac:dyDescent="0.2">
      <c r="B15" t="s">
        <v>35</v>
      </c>
      <c r="D15" s="4">
        <v>20</v>
      </c>
      <c r="E15" s="4">
        <v>130</v>
      </c>
      <c r="F15" s="4">
        <v>272</v>
      </c>
    </row>
    <row r="16" spans="2:6" x14ac:dyDescent="0.2">
      <c r="B16" t="s">
        <v>36</v>
      </c>
      <c r="D16" s="4">
        <v>-14</v>
      </c>
      <c r="E16" s="4">
        <v>72</v>
      </c>
      <c r="F16" s="4">
        <v>-84</v>
      </c>
    </row>
    <row r="17" spans="2:6" x14ac:dyDescent="0.2">
      <c r="B17" t="s">
        <v>90</v>
      </c>
      <c r="D17" s="4">
        <v>-64</v>
      </c>
      <c r="E17" s="4">
        <v>-37</v>
      </c>
      <c r="F17" s="4">
        <v>-34</v>
      </c>
    </row>
    <row r="18" spans="2:6" x14ac:dyDescent="0.2">
      <c r="B18" t="s">
        <v>62</v>
      </c>
      <c r="D18" s="4">
        <v>137</v>
      </c>
      <c r="E18" s="4">
        <v>31</v>
      </c>
      <c r="F18" s="4">
        <v>79</v>
      </c>
    </row>
    <row r="19" spans="2:6" x14ac:dyDescent="0.2">
      <c r="B19" t="s">
        <v>63</v>
      </c>
      <c r="D19" s="4">
        <v>1480</v>
      </c>
      <c r="E19" s="4">
        <v>1750</v>
      </c>
      <c r="F19" s="4">
        <v>1560</v>
      </c>
    </row>
    <row r="20" spans="2:6" x14ac:dyDescent="0.2">
      <c r="D20" s="4"/>
      <c r="E20" s="4"/>
      <c r="F20" s="4"/>
    </row>
    <row r="21" spans="2:6" x14ac:dyDescent="0.2">
      <c r="B21" t="s">
        <v>64</v>
      </c>
      <c r="D21" s="4"/>
      <c r="E21" s="4"/>
      <c r="F21" s="4"/>
    </row>
    <row r="22" spans="2:6" x14ac:dyDescent="0.2">
      <c r="B22" t="s">
        <v>65</v>
      </c>
      <c r="D22" s="4">
        <v>-183</v>
      </c>
      <c r="E22" s="4">
        <v>-156</v>
      </c>
      <c r="F22" s="4">
        <v>-115</v>
      </c>
    </row>
    <row r="23" spans="2:6" x14ac:dyDescent="0.2">
      <c r="B23" t="s">
        <v>91</v>
      </c>
      <c r="D23" s="4">
        <v>-53</v>
      </c>
      <c r="E23" s="4">
        <v>-80</v>
      </c>
      <c r="F23" s="4">
        <v>-46</v>
      </c>
    </row>
    <row r="24" spans="2:6" x14ac:dyDescent="0.2">
      <c r="B24" t="s">
        <v>92</v>
      </c>
      <c r="D24" s="4">
        <v>0</v>
      </c>
      <c r="E24" s="4">
        <v>0</v>
      </c>
      <c r="F24" s="4">
        <v>61</v>
      </c>
    </row>
    <row r="25" spans="2:6" x14ac:dyDescent="0.2">
      <c r="B25" t="s">
        <v>93</v>
      </c>
      <c r="D25" s="4">
        <v>-51</v>
      </c>
      <c r="E25" s="4">
        <v>40</v>
      </c>
      <c r="F25" s="4">
        <v>-7</v>
      </c>
    </row>
    <row r="26" spans="2:6" x14ac:dyDescent="0.2">
      <c r="B26" t="s">
        <v>66</v>
      </c>
      <c r="D26" s="4">
        <v>-69</v>
      </c>
      <c r="E26" s="4">
        <v>73</v>
      </c>
      <c r="F26" s="4">
        <v>65</v>
      </c>
    </row>
    <row r="27" spans="2:6" x14ac:dyDescent="0.2">
      <c r="B27" t="s">
        <v>67</v>
      </c>
      <c r="D27" s="4">
        <v>3</v>
      </c>
      <c r="E27" s="4">
        <v>34</v>
      </c>
      <c r="F27" s="4">
        <v>9</v>
      </c>
    </row>
    <row r="28" spans="2:6" x14ac:dyDescent="0.2">
      <c r="B28" t="s">
        <v>94</v>
      </c>
      <c r="D28" s="4">
        <v>-353</v>
      </c>
      <c r="E28" s="4">
        <v>-89</v>
      </c>
      <c r="F28" s="4">
        <v>-33</v>
      </c>
    </row>
    <row r="29" spans="2:6" x14ac:dyDescent="0.2">
      <c r="B29" t="s">
        <v>68</v>
      </c>
      <c r="D29" s="4"/>
      <c r="E29" s="4"/>
      <c r="F29" s="4"/>
    </row>
    <row r="30" spans="2:6" x14ac:dyDescent="0.2">
      <c r="B30" t="s">
        <v>69</v>
      </c>
      <c r="D30" s="21">
        <v>647</v>
      </c>
      <c r="E30" s="4">
        <v>-304</v>
      </c>
      <c r="F30" s="4">
        <v>113</v>
      </c>
    </row>
    <row r="31" spans="2:6" x14ac:dyDescent="0.2">
      <c r="B31" t="s">
        <v>70</v>
      </c>
      <c r="D31" s="21">
        <v>0</v>
      </c>
      <c r="E31" s="4">
        <v>152</v>
      </c>
      <c r="F31" s="4">
        <v>0</v>
      </c>
    </row>
    <row r="32" spans="2:6" x14ac:dyDescent="0.2">
      <c r="B32" t="s">
        <v>71</v>
      </c>
      <c r="D32" s="21">
        <v>0</v>
      </c>
      <c r="E32" s="4">
        <v>-503</v>
      </c>
      <c r="F32" s="4">
        <v>0</v>
      </c>
    </row>
    <row r="33" spans="2:6" x14ac:dyDescent="0.2">
      <c r="B33" t="s">
        <v>72</v>
      </c>
      <c r="D33" s="21">
        <v>6300</v>
      </c>
      <c r="E33" s="4">
        <v>2030</v>
      </c>
      <c r="F33" s="4">
        <v>0</v>
      </c>
    </row>
    <row r="34" spans="2:6" x14ac:dyDescent="0.2">
      <c r="B34" t="s">
        <v>73</v>
      </c>
      <c r="D34" s="4">
        <v>-43</v>
      </c>
      <c r="E34" s="4">
        <v>-25</v>
      </c>
      <c r="F34" s="4">
        <v>0</v>
      </c>
    </row>
    <row r="35" spans="2:6" x14ac:dyDescent="0.2">
      <c r="B35" t="s">
        <v>74</v>
      </c>
      <c r="D35" s="21">
        <v>-1000</v>
      </c>
      <c r="E35" s="4">
        <v>0</v>
      </c>
      <c r="F35" s="4">
        <v>-500</v>
      </c>
    </row>
    <row r="36" spans="2:6" x14ac:dyDescent="0.2">
      <c r="B36" t="s">
        <v>75</v>
      </c>
      <c r="D36" s="21">
        <v>-260</v>
      </c>
      <c r="E36" s="4">
        <v>-393</v>
      </c>
      <c r="F36" s="4">
        <v>-465</v>
      </c>
    </row>
    <row r="37" spans="2:6" x14ac:dyDescent="0.2">
      <c r="B37" t="s">
        <v>76</v>
      </c>
      <c r="D37" s="21">
        <v>0</v>
      </c>
      <c r="E37" s="4">
        <v>-725</v>
      </c>
      <c r="F37" s="4">
        <v>-850</v>
      </c>
    </row>
    <row r="38" spans="2:6" x14ac:dyDescent="0.2">
      <c r="B38" t="s">
        <v>77</v>
      </c>
      <c r="D38" s="21">
        <v>-149</v>
      </c>
      <c r="E38" s="4">
        <v>-155</v>
      </c>
      <c r="F38" s="4">
        <v>-118</v>
      </c>
    </row>
    <row r="39" spans="2:6" x14ac:dyDescent="0.2">
      <c r="B39" t="s">
        <v>95</v>
      </c>
      <c r="D39" s="4">
        <v>0</v>
      </c>
      <c r="E39" s="4">
        <v>0</v>
      </c>
      <c r="F39" s="4">
        <v>-1802</v>
      </c>
    </row>
    <row r="40" spans="2:6" x14ac:dyDescent="0.2">
      <c r="B40" t="s">
        <v>78</v>
      </c>
      <c r="D40" s="4">
        <v>-6330</v>
      </c>
      <c r="E40" s="4">
        <v>0</v>
      </c>
      <c r="F40" s="4">
        <v>0</v>
      </c>
    </row>
    <row r="41" spans="2:6" x14ac:dyDescent="0.2">
      <c r="B41" t="s">
        <v>79</v>
      </c>
      <c r="D41" s="4">
        <v>-9</v>
      </c>
      <c r="E41" s="4">
        <v>-19</v>
      </c>
      <c r="F41" s="4">
        <v>-30</v>
      </c>
    </row>
    <row r="42" spans="2:6" x14ac:dyDescent="0.2">
      <c r="B42" t="s">
        <v>80</v>
      </c>
      <c r="D42" s="4">
        <v>-844</v>
      </c>
      <c r="E42" s="4">
        <v>58</v>
      </c>
      <c r="F42" s="4">
        <v>-3652</v>
      </c>
    </row>
    <row r="43" spans="2:6" x14ac:dyDescent="0.2">
      <c r="D43" s="4"/>
      <c r="E43" s="4"/>
      <c r="F43" s="4"/>
    </row>
    <row r="44" spans="2:6" x14ac:dyDescent="0.2">
      <c r="B44" t="s">
        <v>81</v>
      </c>
      <c r="D44" s="4">
        <v>59</v>
      </c>
      <c r="E44" s="4">
        <v>-43</v>
      </c>
      <c r="F44" s="4">
        <v>-157</v>
      </c>
    </row>
    <row r="45" spans="2:6" x14ac:dyDescent="0.2">
      <c r="B45" t="s">
        <v>96</v>
      </c>
      <c r="D45" s="14">
        <v>342</v>
      </c>
      <c r="E45" s="14">
        <v>1676</v>
      </c>
      <c r="F45" s="14">
        <v>-2282</v>
      </c>
    </row>
    <row r="46" spans="2:6" x14ac:dyDescent="0.2">
      <c r="B46" t="s">
        <v>82</v>
      </c>
      <c r="D46" s="4">
        <v>1459</v>
      </c>
      <c r="E46" s="4">
        <v>1801</v>
      </c>
      <c r="F46" s="4">
        <v>3477</v>
      </c>
    </row>
    <row r="47" spans="2:6" x14ac:dyDescent="0.2">
      <c r="B47" t="s">
        <v>83</v>
      </c>
      <c r="D47" s="4">
        <v>1801</v>
      </c>
      <c r="E47" s="4">
        <v>3477</v>
      </c>
      <c r="F47" s="4">
        <v>1195</v>
      </c>
    </row>
    <row r="48" spans="2:6" x14ac:dyDescent="0.2">
      <c r="B48" t="s">
        <v>84</v>
      </c>
      <c r="D48" s="4">
        <v>19</v>
      </c>
      <c r="E48" s="4">
        <v>1912</v>
      </c>
      <c r="F48" s="4">
        <v>6</v>
      </c>
    </row>
    <row r="49" spans="2:6" x14ac:dyDescent="0.2">
      <c r="B49" t="s">
        <v>85</v>
      </c>
      <c r="D49" s="4">
        <v>1782</v>
      </c>
      <c r="E49" s="4">
        <v>1565</v>
      </c>
      <c r="F49" s="4">
        <v>1189</v>
      </c>
    </row>
    <row r="50" spans="2:6" x14ac:dyDescent="0.2">
      <c r="B50" t="s">
        <v>86</v>
      </c>
      <c r="D50" s="4"/>
      <c r="E50" s="4"/>
      <c r="F50" s="4"/>
    </row>
    <row r="51" spans="2:6" x14ac:dyDescent="0.2">
      <c r="B51" t="s">
        <v>97</v>
      </c>
      <c r="D51" s="4">
        <v>81</v>
      </c>
      <c r="E51" s="4">
        <v>129</v>
      </c>
      <c r="F51" s="4">
        <v>134</v>
      </c>
    </row>
    <row r="52" spans="2:6" x14ac:dyDescent="0.2">
      <c r="B52" t="s">
        <v>98</v>
      </c>
      <c r="D52" s="4">
        <v>561</v>
      </c>
      <c r="E52" s="4">
        <v>552</v>
      </c>
      <c r="F52" s="4">
        <v>562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Model</vt:lpstr>
      <vt:lpstr>IS</vt:lpstr>
      <vt:lpstr>BS</vt:lpstr>
      <vt:lpstr>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2024-02-11T20:17:19Z</dcterms:created>
  <dcterms:modified xsi:type="dcterms:W3CDTF">2024-02-11T20:17:23Z</dcterms:modified>
</cp:coreProperties>
</file>