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mmad Rizky Guntr\Documents\Guntur\PROGRAM\project\backend\BoQ\"/>
    </mc:Choice>
  </mc:AlternateContent>
  <xr:revisionPtr revIDLastSave="0" documentId="8_{F265DCE7-BFB9-4C48-B09F-922B24864313}" xr6:coauthVersionLast="47" xr6:coauthVersionMax="47" xr10:uidLastSave="{00000000-0000-0000-0000-000000000000}"/>
  <bookViews>
    <workbookView xWindow="-108" yWindow="-108" windowWidth="23256" windowHeight="12456" xr2:uid="{7227F1C9-32C8-4B83-939F-8E6092D6C59D}"/>
  </bookViews>
  <sheets>
    <sheet name="RTGS Ka-band" sheetId="2" r:id="rId1"/>
    <sheet name="Sheet1" sheetId="1" r:id="rId2"/>
  </sheets>
  <definedNames>
    <definedName name="_xlnm._FilterDatabase" localSheetId="0" hidden="1">'RTGS Ka-band'!$A$11:$I$36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2" l="1"/>
  <c r="D15" i="2"/>
  <c r="I15" i="2"/>
  <c r="J15" i="2"/>
  <c r="D16" i="2"/>
  <c r="D19" i="2"/>
  <c r="H19" i="2"/>
  <c r="J19" i="2"/>
  <c r="J20" i="2"/>
  <c r="D22" i="2"/>
  <c r="D23" i="2"/>
  <c r="F24" i="2"/>
  <c r="H24" i="2" s="1"/>
  <c r="I24" i="2"/>
  <c r="F25" i="2"/>
  <c r="H25" i="2"/>
  <c r="I25" i="2"/>
  <c r="J25" i="2"/>
  <c r="H26" i="2"/>
  <c r="I26" i="2"/>
  <c r="H27" i="2"/>
  <c r="I27" i="2"/>
  <c r="J27" i="2" s="1"/>
  <c r="H28" i="2"/>
  <c r="I28" i="2"/>
  <c r="J28" i="2"/>
  <c r="D29" i="2"/>
  <c r="H29" i="2" s="1"/>
  <c r="J29" i="2" s="1"/>
  <c r="F29" i="2"/>
  <c r="F39" i="2" s="1"/>
  <c r="I29" i="2"/>
  <c r="F30" i="2"/>
  <c r="H30" i="2"/>
  <c r="J30" i="2" s="1"/>
  <c r="I30" i="2"/>
  <c r="H31" i="2"/>
  <c r="H32" i="2"/>
  <c r="J32" i="2" s="1"/>
  <c r="I32" i="2"/>
  <c r="H33" i="2"/>
  <c r="I33" i="2"/>
  <c r="J33" i="2" s="1"/>
  <c r="H34" i="2"/>
  <c r="I34" i="2"/>
  <c r="J34" i="2"/>
  <c r="H35" i="2"/>
  <c r="J35" i="2" s="1"/>
  <c r="I35" i="2"/>
  <c r="H36" i="2"/>
  <c r="I36" i="2"/>
  <c r="G39" i="2"/>
  <c r="H44" i="2"/>
  <c r="I44" i="2"/>
  <c r="J44" i="2" s="1"/>
  <c r="H45" i="2"/>
  <c r="I45" i="2"/>
  <c r="J45" i="2"/>
  <c r="H46" i="2"/>
  <c r="H56" i="2" s="1"/>
  <c r="J56" i="2" s="1"/>
  <c r="H47" i="2"/>
  <c r="H48" i="2"/>
  <c r="I48" i="2"/>
  <c r="J48" i="2" s="1"/>
  <c r="H49" i="2"/>
  <c r="I49" i="2"/>
  <c r="J49" i="2"/>
  <c r="H50" i="2"/>
  <c r="H51" i="2"/>
  <c r="H52" i="2"/>
  <c r="I52" i="2"/>
  <c r="J52" i="2" s="1"/>
  <c r="F53" i="2"/>
  <c r="H53" i="2"/>
  <c r="I53" i="2"/>
  <c r="J53" i="2" s="1"/>
  <c r="H54" i="2"/>
  <c r="I54" i="2"/>
  <c r="J54" i="2"/>
  <c r="F56" i="2"/>
  <c r="G56" i="2"/>
  <c r="I56" i="2"/>
  <c r="H61" i="2"/>
  <c r="I61" i="2"/>
  <c r="J61" i="2"/>
  <c r="I62" i="2"/>
  <c r="J62" i="2" s="1"/>
  <c r="H65" i="2"/>
  <c r="I65" i="2"/>
  <c r="J65" i="2" s="1"/>
  <c r="H66" i="2"/>
  <c r="I66" i="2"/>
  <c r="J66" i="2"/>
  <c r="H67" i="2"/>
  <c r="J67" i="2" s="1"/>
  <c r="I67" i="2"/>
  <c r="H68" i="2"/>
  <c r="J68" i="2" s="1"/>
  <c r="I68" i="2"/>
  <c r="F69" i="2"/>
  <c r="F94" i="2" s="1"/>
  <c r="H69" i="2"/>
  <c r="J69" i="2" s="1"/>
  <c r="I69" i="2"/>
  <c r="F70" i="2"/>
  <c r="H70" i="2"/>
  <c r="J70" i="2" s="1"/>
  <c r="I70" i="2"/>
  <c r="H71" i="2"/>
  <c r="J71" i="2"/>
  <c r="H72" i="2"/>
  <c r="J72" i="2" s="1"/>
  <c r="H73" i="2"/>
  <c r="I73" i="2"/>
  <c r="J73" i="2" s="1"/>
  <c r="H76" i="2"/>
  <c r="I76" i="2"/>
  <c r="J76" i="2"/>
  <c r="H77" i="2"/>
  <c r="J77" i="2" s="1"/>
  <c r="I77" i="2"/>
  <c r="F78" i="2"/>
  <c r="H78" i="2" s="1"/>
  <c r="I78" i="2"/>
  <c r="F79" i="2"/>
  <c r="H79" i="2" s="1"/>
  <c r="J79" i="2" s="1"/>
  <c r="I79" i="2"/>
  <c r="F80" i="2"/>
  <c r="H80" i="2" s="1"/>
  <c r="J80" i="2" s="1"/>
  <c r="I80" i="2"/>
  <c r="F81" i="2"/>
  <c r="H81" i="2" s="1"/>
  <c r="J81" i="2" s="1"/>
  <c r="I81" i="2"/>
  <c r="H82" i="2"/>
  <c r="J82" i="2" s="1"/>
  <c r="I82" i="2"/>
  <c r="H83" i="2"/>
  <c r="I83" i="2"/>
  <c r="J83" i="2" s="1"/>
  <c r="H84" i="2"/>
  <c r="I84" i="2"/>
  <c r="J84" i="2"/>
  <c r="H85" i="2"/>
  <c r="J85" i="2" s="1"/>
  <c r="I85" i="2"/>
  <c r="F86" i="2"/>
  <c r="H86" i="2" s="1"/>
  <c r="J86" i="2" s="1"/>
  <c r="I86" i="2"/>
  <c r="H87" i="2"/>
  <c r="J87" i="2" s="1"/>
  <c r="I87" i="2"/>
  <c r="H88" i="2"/>
  <c r="I88" i="2"/>
  <c r="J88" i="2" s="1"/>
  <c r="H89" i="2"/>
  <c r="I89" i="2"/>
  <c r="J89" i="2"/>
  <c r="H90" i="2"/>
  <c r="J90" i="2" s="1"/>
  <c r="I90" i="2"/>
  <c r="H91" i="2"/>
  <c r="J91" i="2" s="1"/>
  <c r="I91" i="2"/>
  <c r="H92" i="2"/>
  <c r="I92" i="2"/>
  <c r="J92" i="2" s="1"/>
  <c r="G94" i="2"/>
  <c r="I94" i="2"/>
  <c r="I98" i="2"/>
  <c r="J98" i="2"/>
  <c r="F101" i="2"/>
  <c r="G101" i="2"/>
  <c r="H101" i="2"/>
  <c r="I101" i="2"/>
  <c r="J101" i="2" s="1"/>
  <c r="H105" i="2"/>
  <c r="I105" i="2"/>
  <c r="J105" i="2"/>
  <c r="F108" i="2"/>
  <c r="G108" i="2"/>
  <c r="H108" i="2"/>
  <c r="I108" i="2"/>
  <c r="J108" i="2" s="1"/>
  <c r="H113" i="2"/>
  <c r="I113" i="2"/>
  <c r="J113" i="2"/>
  <c r="F117" i="2"/>
  <c r="G117" i="2"/>
  <c r="H117" i="2"/>
  <c r="I117" i="2"/>
  <c r="J117" i="2" s="1"/>
  <c r="I125" i="2"/>
  <c r="I126" i="2" s="1"/>
  <c r="J126" i="2" l="1"/>
  <c r="J24" i="2"/>
  <c r="H39" i="2"/>
  <c r="I132" i="2"/>
  <c r="I133" i="2" s="1"/>
  <c r="H94" i="2"/>
  <c r="J94" i="2" s="1"/>
  <c r="J78" i="2"/>
  <c r="I39" i="2"/>
  <c r="I119" i="2" s="1"/>
  <c r="I128" i="2" l="1"/>
  <c r="J128" i="2" s="1"/>
  <c r="I121" i="2"/>
  <c r="J39" i="2"/>
  <c r="H119" i="2"/>
  <c r="H121" i="2" l="1"/>
  <c r="J121" i="2" s="1"/>
  <c r="J119" i="2"/>
  <c r="I127" i="2"/>
  <c r="J127" i="2" l="1"/>
  <c r="J129" i="2" s="1"/>
  <c r="I129" i="2"/>
  <c r="I13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Muhammad Rizky Guntr</author>
    <author>SyamsirMasli</author>
    <author>Evan</author>
  </authors>
  <commentList>
    <comment ref="D24" authorId="0" shapeId="0" xr:uid="{97465B4E-6F74-436B-A8C6-426481D35712}">
      <text>
        <r>
          <rPr>
            <b/>
            <sz val="9"/>
            <color indexed="81"/>
            <rFont val="Tahoma"/>
            <charset val="1"/>
          </rPr>
          <t>Muhammad Rizky Guntr:</t>
        </r>
        <r>
          <rPr>
            <sz val="9"/>
            <color indexed="81"/>
            <rFont val="Tahoma"/>
            <charset val="1"/>
          </rPr>
          <t xml:space="preserve">
TX: 20m
RX: 20m
</t>
        </r>
      </text>
    </comment>
    <comment ref="B28" authorId="1" shapeId="0" xr:uid="{66949D6E-FD5A-46BF-BF89-18F6B2A2062B}">
      <text>
        <r>
          <rPr>
            <b/>
            <sz val="9"/>
            <color indexed="81"/>
            <rFont val="Tahoma"/>
            <family val="2"/>
          </rPr>
          <t>SyamsirMasli:</t>
        </r>
        <r>
          <rPr>
            <sz val="9"/>
            <color indexed="81"/>
            <rFont val="Tahoma"/>
            <family val="2"/>
          </rPr>
          <t xml:space="preserve">
Data Cable di produksi sendiri dari sisa kabel UTP yg di beli, panjang 1 s.d 1.5 meter dan tiap site 2 pcs (include RJ45)</t>
        </r>
      </text>
    </comment>
    <comment ref="B29" authorId="1" shapeId="0" xr:uid="{173C7E24-4752-4064-918B-A46A19E2304E}">
      <text>
        <r>
          <rPr>
            <b/>
            <sz val="9"/>
            <color indexed="81"/>
            <rFont val="Tahoma"/>
            <family val="2"/>
          </rPr>
          <t>SyamsirMasli:</t>
        </r>
        <r>
          <rPr>
            <sz val="9"/>
            <color indexed="81"/>
            <rFont val="Tahoma"/>
            <family val="2"/>
          </rPr>
          <t xml:space="preserve">
Tamabhan 3 meter (sisa) untuk Data cable 2 pcs (1 s.d 1.5 m)</t>
        </r>
      </text>
    </comment>
    <comment ref="B62" authorId="2" shapeId="0" xr:uid="{EF92C432-436A-44F4-88A9-BA28393F731A}">
      <text>
        <r>
          <rPr>
            <b/>
            <sz val="9"/>
            <color indexed="81"/>
            <rFont val="Tahoma"/>
            <family val="2"/>
          </rPr>
          <t>Evan:</t>
        </r>
        <r>
          <rPr>
            <sz val="9"/>
            <color indexed="81"/>
            <rFont val="Tahoma"/>
            <family val="2"/>
          </rPr>
          <t xml:space="preserve">
Beli di lokasi</t>
        </r>
      </text>
    </comment>
    <comment ref="B76" authorId="2" shapeId="0" xr:uid="{E6DFAFA0-2385-4780-A587-CD3D8B267C82}">
      <text>
        <r>
          <rPr>
            <b/>
            <sz val="9"/>
            <color indexed="81"/>
            <rFont val="Tahoma"/>
            <family val="2"/>
          </rPr>
          <t>Evan:</t>
        </r>
        <r>
          <rPr>
            <sz val="9"/>
            <color indexed="81"/>
            <rFont val="Tahoma"/>
            <family val="2"/>
          </rPr>
          <t xml:space="preserve">
Include di rack indoor</t>
        </r>
      </text>
    </comment>
  </commentList>
</comments>
</file>

<file path=xl/sharedStrings.xml><?xml version="1.0" encoding="utf-8"?>
<sst xmlns="http://schemas.openxmlformats.org/spreadsheetml/2006/main" count="345" uniqueCount="241">
  <si>
    <t>Accsories</t>
  </si>
  <si>
    <t>Material import</t>
  </si>
  <si>
    <t>Material lokal</t>
  </si>
  <si>
    <t>Cost Shipping &amp; Handling</t>
  </si>
  <si>
    <t>Biaya Shiping &amp; Handling</t>
  </si>
  <si>
    <t>TOTAL BOM</t>
  </si>
  <si>
    <t>TOTAL CLIENT</t>
  </si>
  <si>
    <t>Total Amount B6</t>
  </si>
  <si>
    <t>A603</t>
  </si>
  <si>
    <t>A602</t>
  </si>
  <si>
    <t>lot</t>
  </si>
  <si>
    <t>/29</t>
  </si>
  <si>
    <t>IP Address Public</t>
  </si>
  <si>
    <t>A601</t>
  </si>
  <si>
    <t>Data Network</t>
  </si>
  <si>
    <t>Others</t>
  </si>
  <si>
    <t>A6</t>
  </si>
  <si>
    <t>Total Amount A5</t>
  </si>
  <si>
    <t>A502</t>
  </si>
  <si>
    <t>A501</t>
  </si>
  <si>
    <t>Accessories</t>
  </si>
  <si>
    <t>A5</t>
  </si>
  <si>
    <t>Total Amount A4</t>
  </si>
  <si>
    <t>A402</t>
  </si>
  <si>
    <t>Wharehouse</t>
  </si>
  <si>
    <t>A401</t>
  </si>
  <si>
    <t>Software</t>
  </si>
  <si>
    <t>A4</t>
  </si>
  <si>
    <t>Total Amount A3</t>
  </si>
  <si>
    <t>Selvi</t>
  </si>
  <si>
    <t>PT PROPACK KREASI MANDIRI</t>
  </si>
  <si>
    <t>460 X 610 X 360 MM</t>
  </si>
  <si>
    <t>Kardus &amp; duct tape Packing</t>
  </si>
  <si>
    <t>A320</t>
  </si>
  <si>
    <t>0816-1601-215</t>
  </si>
  <si>
    <t>515 X 500 X 425 MM</t>
  </si>
  <si>
    <t>Kardus Antenna &amp; duct tape Packing</t>
  </si>
  <si>
    <t>A322</t>
  </si>
  <si>
    <t>Deni</t>
  </si>
  <si>
    <t>UD JKT STICKER</t>
  </si>
  <si>
    <t>set</t>
  </si>
  <si>
    <t>Sticker Fragile</t>
  </si>
  <si>
    <t>A324</t>
  </si>
  <si>
    <t>Sticker Kominfo</t>
  </si>
  <si>
    <t>A323</t>
  </si>
  <si>
    <t>Sticker Bakti</t>
  </si>
  <si>
    <t>0812-8464-4878</t>
  </si>
  <si>
    <t>Sticker Mahaga</t>
  </si>
  <si>
    <t>A321</t>
  </si>
  <si>
    <t>62 856-1890-588</t>
  </si>
  <si>
    <t>Andi</t>
  </si>
  <si>
    <t>CV SURYA MAS SAKTI</t>
  </si>
  <si>
    <t>pieces</t>
  </si>
  <si>
    <t>5 cm</t>
  </si>
  <si>
    <t>Paku Beton</t>
  </si>
  <si>
    <t>packs</t>
  </si>
  <si>
    <t>5mm</t>
  </si>
  <si>
    <t>Paku Clamp</t>
  </si>
  <si>
    <t>A319</t>
  </si>
  <si>
    <t>62 811-803-974</t>
  </si>
  <si>
    <t>Irawan</t>
  </si>
  <si>
    <t>PT WAHANA CENTRA PRAKARSA</t>
  </si>
  <si>
    <t>6 mm</t>
  </si>
  <si>
    <t>A318</t>
  </si>
  <si>
    <t>10 mm</t>
  </si>
  <si>
    <t>Paku Clamp Cable</t>
  </si>
  <si>
    <t>A317</t>
  </si>
  <si>
    <t>33 merk 3M</t>
  </si>
  <si>
    <t xml:space="preserve">Vinyl Scotch </t>
  </si>
  <si>
    <t>A316</t>
  </si>
  <si>
    <t>meter</t>
  </si>
  <si>
    <t>23 merk 3M</t>
  </si>
  <si>
    <t xml:space="preserve">Rubber Tape Scotch </t>
  </si>
  <si>
    <t>A315</t>
  </si>
  <si>
    <t>Tie Wrap CS300L Black Sigma</t>
  </si>
  <si>
    <t>A314</t>
  </si>
  <si>
    <t>Tie Wrap CS200L Black Sigma</t>
  </si>
  <si>
    <t>A313</t>
  </si>
  <si>
    <t>0856-1890-588</t>
  </si>
  <si>
    <t>Tie Wrap CS100L Black Sigma</t>
  </si>
  <si>
    <t>A312</t>
  </si>
  <si>
    <t>M8</t>
  </si>
  <si>
    <t>Dynabolt (untuk Mounting Wifi)</t>
  </si>
  <si>
    <t>A311</t>
  </si>
  <si>
    <t>M10</t>
  </si>
  <si>
    <t>Dynabolt (untuk Mount Rack)</t>
  </si>
  <si>
    <t>A310</t>
  </si>
  <si>
    <t>Construction Supporting Material</t>
  </si>
  <si>
    <t>0813-1133-1923,0857-1136-0677,0817-275-392</t>
  </si>
  <si>
    <t>Cresen,Ryady,Bayu</t>
  </si>
  <si>
    <t>Gerindo Tehnik,SARANA METAL SEJAHTRA,Vahana Gasti Teknika</t>
  </si>
  <si>
    <t>unit</t>
  </si>
  <si>
    <t>Rust Resistant Material dan Finishing Powder Coating</t>
  </si>
  <si>
    <t>Indoor Rack 6U (include FAN, Stop kontak 5 holes, busbar, body grounding, Cage Nut, &amp; Dynabolt)</t>
  </si>
  <si>
    <t>A309</t>
  </si>
  <si>
    <t>Indoor Cabinet</t>
  </si>
  <si>
    <t>0811-803-974</t>
  </si>
  <si>
    <t>Skun 4 mm</t>
  </si>
  <si>
    <t>A308</t>
  </si>
  <si>
    <t>Skun 25 mm</t>
  </si>
  <si>
    <t>A307</t>
  </si>
  <si>
    <t>Cooper Bound Clamp</t>
  </si>
  <si>
    <t>A306</t>
  </si>
  <si>
    <t>100 cm</t>
  </si>
  <si>
    <t>Cooper Rod</t>
  </si>
  <si>
    <t>A305</t>
  </si>
  <si>
    <t>25 mm</t>
  </si>
  <si>
    <t>BC Cable</t>
  </si>
  <si>
    <t>A304</t>
  </si>
  <si>
    <t>+62 812-1265-7476</t>
  </si>
  <si>
    <t>Irvan</t>
  </si>
  <si>
    <t>PT. FAJAR SINAR MENTARI</t>
  </si>
  <si>
    <t>4 mm</t>
  </si>
  <si>
    <t xml:space="preserve">Grounding cable NYAF </t>
  </si>
  <si>
    <t>A303</t>
  </si>
  <si>
    <t>Grounding Unit</t>
  </si>
  <si>
    <t>35 meter</t>
  </si>
  <si>
    <t>Pipa/ conduit Jalur kabel IFL</t>
  </si>
  <si>
    <t>A302</t>
  </si>
  <si>
    <t>50x50 cm</t>
  </si>
  <si>
    <t>Antenna Foundation (PRM  Pedestal)</t>
  </si>
  <si>
    <t>A301</t>
  </si>
  <si>
    <t>Foundation</t>
  </si>
  <si>
    <t>Civil &amp; Construction Supporting</t>
  </si>
  <si>
    <t>A3</t>
  </si>
  <si>
    <t>Total Amount A2</t>
  </si>
  <si>
    <t>5.5 - 6 mm</t>
  </si>
  <si>
    <t>Skun 5mm</t>
  </si>
  <si>
    <t>A209</t>
  </si>
  <si>
    <t>0818-100-622</t>
  </si>
  <si>
    <t>Arif</t>
  </si>
  <si>
    <t>PT TELCO ABADI JAYA</t>
  </si>
  <si>
    <t>3.5 - 4.4 mm</t>
  </si>
  <si>
    <t>Skun 4mm</t>
  </si>
  <si>
    <t>A208</t>
  </si>
  <si>
    <t>3x15x25 mm</t>
  </si>
  <si>
    <t>Bus Bar Indoor  (dengan isloator dan dynabolt)</t>
  </si>
  <si>
    <t>A207</t>
  </si>
  <si>
    <t>5 Holes, Uticon</t>
  </si>
  <si>
    <t>Stop kontak, standar SNI</t>
  </si>
  <si>
    <t>A206</t>
  </si>
  <si>
    <t>1 Hole, Uticon</t>
  </si>
  <si>
    <t>A205</t>
  </si>
  <si>
    <t>Kaki 2, Broco</t>
  </si>
  <si>
    <t>Stecker standar SNI ,</t>
  </si>
  <si>
    <t>A204</t>
  </si>
  <si>
    <t>Black 3x1.5 mm, Jembo</t>
  </si>
  <si>
    <t>Power Cable NYYHY</t>
  </si>
  <si>
    <t>A203</t>
  </si>
  <si>
    <t>Electrical System Accessories</t>
  </si>
  <si>
    <t>Inc. MCB, Surge arrestor, Busbar, dan Box panel.</t>
  </si>
  <si>
    <t>Panel Arrester</t>
  </si>
  <si>
    <t>A202</t>
  </si>
  <si>
    <t>+62 856-1031-667</t>
  </si>
  <si>
    <t>Edi Saputra</t>
  </si>
  <si>
    <t>Gunindo Trimukti</t>
  </si>
  <si>
    <t>1500 VA</t>
  </si>
  <si>
    <t>Power Stabilizer</t>
  </si>
  <si>
    <t>A201</t>
  </si>
  <si>
    <t>Electrical System</t>
  </si>
  <si>
    <t>Electrical</t>
  </si>
  <si>
    <t>A2</t>
  </si>
  <si>
    <t>Total Amount A1</t>
  </si>
  <si>
    <t>galvanized</t>
  </si>
  <si>
    <t>Mounting Wifi</t>
  </si>
  <si>
    <t>A116</t>
  </si>
  <si>
    <t>Support : POE, 10M/100M</t>
  </si>
  <si>
    <t>LAN RJ45 Surge Arrester</t>
  </si>
  <si>
    <t>A115</t>
  </si>
  <si>
    <t>Access Point</t>
  </si>
  <si>
    <t>A114</t>
  </si>
  <si>
    <t>+62 817-372-929</t>
  </si>
  <si>
    <t>Teguh</t>
  </si>
  <si>
    <t>PT.Makmur Jati Teknologi</t>
  </si>
  <si>
    <t>RB450Gx4</t>
  </si>
  <si>
    <t>Router</t>
  </si>
  <si>
    <t>A113</t>
  </si>
  <si>
    <t>CAT 5e</t>
  </si>
  <si>
    <t>Conector RJ45</t>
  </si>
  <si>
    <t>A112</t>
  </si>
  <si>
    <t>Kabel UTP</t>
  </si>
  <si>
    <t>A111</t>
  </si>
  <si>
    <t>CAT 5e @ 1.5 meter</t>
  </si>
  <si>
    <t xml:space="preserve">Data Cable </t>
  </si>
  <si>
    <t>A110</t>
  </si>
  <si>
    <t>Data Equipment Subsystem</t>
  </si>
  <si>
    <t>RG6</t>
  </si>
  <si>
    <t>Konektor F-Type</t>
  </si>
  <si>
    <t>A109</t>
  </si>
  <si>
    <t>0813-1004-8850</t>
  </si>
  <si>
    <t>Djoko</t>
  </si>
  <si>
    <t>PT DENKO WAHANA SAKTI</t>
  </si>
  <si>
    <t>RG6, Belden 9116S</t>
  </si>
  <si>
    <t xml:space="preserve">IF Cable </t>
  </si>
  <si>
    <t>A108</t>
  </si>
  <si>
    <t>Tranceiver</t>
  </si>
  <si>
    <t>A107</t>
  </si>
  <si>
    <t>Satellite Modem</t>
  </si>
  <si>
    <t>A106</t>
  </si>
  <si>
    <t>RF/IF Subsystem</t>
  </si>
  <si>
    <t>PRM [include angkur]</t>
  </si>
  <si>
    <t>Pedestal</t>
  </si>
  <si>
    <t>A105</t>
  </si>
  <si>
    <t>Orthomode Transducer (OMT)</t>
  </si>
  <si>
    <t>A104</t>
  </si>
  <si>
    <t>Feed horn</t>
  </si>
  <si>
    <t>A103</t>
  </si>
  <si>
    <t>Back Frame and support</t>
  </si>
  <si>
    <t>A102</t>
  </si>
  <si>
    <t>Vaibhav</t>
  </si>
  <si>
    <t>Hughes</t>
  </si>
  <si>
    <t>-</t>
  </si>
  <si>
    <t>0.97 m Ka-Band Jonsa</t>
  </si>
  <si>
    <t>VSAT Antenna (Dish)</t>
  </si>
  <si>
    <t>A101</t>
  </si>
  <si>
    <t>Tlp/HP</t>
  </si>
  <si>
    <t>Nama PIC</t>
  </si>
  <si>
    <t>Vendors</t>
  </si>
  <si>
    <t>Total $</t>
  </si>
  <si>
    <t>Total IDR</t>
  </si>
  <si>
    <t>Harga Satuan $</t>
  </si>
  <si>
    <t>Harga Satuan IDR</t>
  </si>
  <si>
    <t>Antenna Subsystem</t>
  </si>
  <si>
    <t>Hardware</t>
  </si>
  <si>
    <t>A1</t>
  </si>
  <si>
    <t>Detail list dari perangkat transmisi yang digunakan</t>
  </si>
  <si>
    <t>Section: CLIENT</t>
  </si>
  <si>
    <t>A</t>
  </si>
  <si>
    <t>Date of Update</t>
  </si>
  <si>
    <t>Rate</t>
  </si>
  <si>
    <t>Project Manager:</t>
  </si>
  <si>
    <t>Contract Number:</t>
  </si>
  <si>
    <t>Code Project :</t>
  </si>
  <si>
    <t>VSAT RTGS</t>
  </si>
  <si>
    <t>Project:</t>
  </si>
  <si>
    <t>Planning/BoM/0823/01A</t>
  </si>
  <si>
    <t>BOM Number:</t>
  </si>
  <si>
    <t>Bill of Material</t>
  </si>
  <si>
    <t xml:space="preserve">REVGO 3 W Ka-Band </t>
  </si>
  <si>
    <t>Ubiquiti UAP AC-M/GRANDSTREAM GWN7630LR</t>
  </si>
  <si>
    <t>{MODEM}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</si>
</sst>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&quot;$&quot;* #,##0.00_);_(&quot;$&quot;* \(#,##0.00\);_(&quot;$&quot;* &quot;-&quot;??_);_(@_)"/>
    <numFmt numFmtId="165" formatCode="_([$Rp-421]* #,##0_);_([$Rp-421]* \(#,##0\);_([$Rp-421]* &quot;-&quot;_);_(@_)"/>
    <numFmt numFmtId="166" formatCode="_(&quot;$&quot;* #,##0_);_(&quot;$&quot;* \(#,##0\);_(&quot;$&quot;* &quot;-&quot;??_);_(@_)"/>
    <numFmt numFmtId="167" formatCode="_(* #,##0_);_(* \(#,##0\);_(* &quot;-&quot;??_);_(@_)"/>
    <numFmt numFmtId="168" formatCode="_(* #,##0.00_);_(* \(#,##0.00\);_(* &quot;-&quot;??_);_(@_)"/>
    <numFmt numFmtId="169" formatCode="&quot;$&quot;#,##0_);[Red]\(&quot;$&quot;#,##0\)"/>
    <numFmt numFmtId="170" formatCode="_([$$-409]* #,##0.00_);_([$$-409]* \(#,##0.00\);_([$$-409]* &quot;-&quot;??_);_(@_)"/>
    <numFmt numFmtId="171" formatCode="_(&quot;Rp&quot;* #,##0_);_(&quot;Rp&quot;* \(#,##0\);_(&quot;Rp&quot;* &quot;-&quot;_);_(@_)"/>
    <numFmt numFmtId="172" formatCode="_([$$-409]* #,##0_);_([$$-409]* \(#,##0\);_([$$-409]* &quot;-&quot;??_);_(@_)"/>
    <numFmt numFmtId="173" formatCode="dd/mm/yyyy;@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Segoe UI"/>
      <family val="2"/>
    </font>
    <font>
      <sz val="11"/>
      <name val="Segoe UI"/>
      <family val="2"/>
    </font>
    <font>
      <b/>
      <sz val="11"/>
      <name val="Segoe UI"/>
      <family val="2"/>
    </font>
    <font>
      <i/>
      <sz val="11"/>
      <name val="Segoe UI"/>
      <family val="2"/>
    </font>
    <font>
      <sz val="10"/>
      <name val="Segoe UI"/>
      <family val="2"/>
    </font>
    <font>
      <b/>
      <sz val="10"/>
      <name val="Segoe UI"/>
      <family val="2"/>
    </font>
    <font>
      <i/>
      <sz val="10"/>
      <name val="Segoe UI"/>
      <family val="2"/>
    </font>
    <font>
      <b/>
      <i/>
      <sz val="11"/>
      <name val="Segoe UI"/>
      <family val="2"/>
    </font>
    <font>
      <sz val="10"/>
      <name val="Calibri"/>
      <family val="2"/>
    </font>
    <font>
      <sz val="10"/>
      <color rgb="FFFF0000"/>
      <name val="Segoe U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0"/>
      <color theme="1"/>
      <name val="Segoe UI"/>
      <family val="2"/>
    </font>
    <font>
      <sz val="11"/>
      <color theme="1"/>
      <name val="Segoe UI"/>
      <family val="2"/>
    </font>
    <font>
      <sz val="11"/>
      <color theme="0"/>
      <name val="Segoe UI"/>
      <family val="2"/>
    </font>
    <font>
      <i/>
      <sz val="11"/>
      <color theme="0"/>
      <name val="Segoe UI"/>
      <family val="2"/>
    </font>
    <font>
      <b/>
      <i/>
      <sz val="11"/>
      <color theme="0"/>
      <name val="Segoe UI"/>
      <family val="2"/>
    </font>
    <font>
      <i/>
      <sz val="10"/>
      <color theme="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rgb="FF000000"/>
      <name val="Segoe UI"/>
      <family val="2"/>
    </font>
    <font>
      <b/>
      <sz val="12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8" fontId="4" fillId="0" borderId="0" applyFont="0" applyFill="0" applyBorder="0" applyAlignment="0" applyProtection="0"/>
    <xf numFmtId="0" fontId="4" fillId="0" borderId="0"/>
  </cellStyleXfs>
  <cellXfs count="223">
    <xf numFmtId="0" fontId="0" fillId="0" borderId="0" xfId="0"/>
    <xf numFmtId="0" fontId="1" fillId="0" borderId="0" xfId="1" applyAlignment="1">
      <alignment vertical="center"/>
    </xf>
    <xf numFmtId="164" fontId="1" fillId="0" borderId="0" xfId="1" applyNumberFormat="1" applyAlignment="1">
      <alignment vertical="center"/>
    </xf>
    <xf numFmtId="165" fontId="1" fillId="0" borderId="0" xfId="1" applyNumberFormat="1" applyAlignment="1">
      <alignment vertical="center"/>
    </xf>
    <xf numFmtId="0" fontId="1" fillId="0" borderId="0" xfId="1" applyAlignment="1">
      <alignment horizontal="left" vertical="center"/>
    </xf>
    <xf numFmtId="0" fontId="1" fillId="0" borderId="0" xfId="1" applyAlignment="1">
      <alignment horizontal="center" vertical="center"/>
    </xf>
    <xf numFmtId="0" fontId="3" fillId="0" borderId="0" xfId="1" applyFont="1" applyAlignment="1">
      <alignment horizontal="center" vertical="center"/>
    </xf>
    <xf numFmtId="166" fontId="1" fillId="0" borderId="1" xfId="1" applyNumberFormat="1" applyBorder="1" applyAlignment="1">
      <alignment vertical="center"/>
    </xf>
    <xf numFmtId="166" fontId="1" fillId="0" borderId="0" xfId="1" applyNumberFormat="1" applyAlignment="1">
      <alignment vertical="center"/>
    </xf>
    <xf numFmtId="37" fontId="1" fillId="0" borderId="1" xfId="1" applyNumberFormat="1" applyBorder="1" applyAlignment="1">
      <alignment vertical="center"/>
    </xf>
    <xf numFmtId="165" fontId="1" fillId="0" borderId="1" xfId="1" applyNumberFormat="1" applyBorder="1" applyAlignment="1">
      <alignment vertical="center"/>
    </xf>
    <xf numFmtId="167" fontId="1" fillId="0" borderId="0" xfId="1" applyNumberFormat="1" applyAlignment="1">
      <alignment vertical="center"/>
    </xf>
    <xf numFmtId="167" fontId="1" fillId="0" borderId="0" xfId="2" applyNumberFormat="1" applyFont="1" applyAlignment="1">
      <alignment vertical="center"/>
    </xf>
    <xf numFmtId="37" fontId="1" fillId="0" borderId="0" xfId="1" applyNumberFormat="1" applyAlignment="1">
      <alignment vertical="center"/>
    </xf>
    <xf numFmtId="169" fontId="1" fillId="0" borderId="1" xfId="1" applyNumberFormat="1" applyBorder="1" applyAlignment="1">
      <alignment vertical="center"/>
    </xf>
    <xf numFmtId="164" fontId="1" fillId="0" borderId="1" xfId="1" applyNumberFormat="1" applyBorder="1" applyAlignment="1">
      <alignment vertical="center"/>
    </xf>
    <xf numFmtId="0" fontId="1" fillId="2" borderId="1" xfId="1" applyFill="1" applyBorder="1" applyAlignment="1">
      <alignment vertical="center"/>
    </xf>
    <xf numFmtId="0" fontId="1" fillId="2" borderId="1" xfId="1" applyFill="1" applyBorder="1" applyAlignment="1">
      <alignment horizontal="center" vertical="center"/>
    </xf>
    <xf numFmtId="164" fontId="5" fillId="2" borderId="3" xfId="1" applyNumberFormat="1" applyFont="1" applyFill="1" applyBorder="1" applyAlignment="1">
      <alignment vertical="center"/>
    </xf>
    <xf numFmtId="170" fontId="5" fillId="2" borderId="4" xfId="1" applyNumberFormat="1" applyFont="1" applyFill="1" applyBorder="1" applyAlignment="1">
      <alignment horizontal="center" vertical="center"/>
    </xf>
    <xf numFmtId="171" fontId="5" fillId="2" borderId="4" xfId="1" applyNumberFormat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left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vertical="center" wrapText="1"/>
    </xf>
    <xf numFmtId="0" fontId="5" fillId="2" borderId="4" xfId="1" applyFont="1" applyFill="1" applyBorder="1" applyAlignment="1">
      <alignment vertical="center"/>
    </xf>
    <xf numFmtId="0" fontId="6" fillId="0" borderId="0" xfId="1" applyFont="1" applyAlignment="1">
      <alignment vertical="center"/>
    </xf>
    <xf numFmtId="0" fontId="6" fillId="0" borderId="0" xfId="1" applyFont="1" applyAlignment="1">
      <alignment horizontal="center" vertical="center"/>
    </xf>
    <xf numFmtId="164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7" fillId="0" borderId="0" xfId="1" applyFont="1" applyAlignment="1">
      <alignment horizontal="left" vertical="center" wrapText="1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vertical="center" wrapText="1"/>
    </xf>
    <xf numFmtId="0" fontId="7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6" fillId="3" borderId="1" xfId="1" applyFont="1" applyFill="1" applyBorder="1" applyAlignment="1">
      <alignment vertical="center"/>
    </xf>
    <xf numFmtId="0" fontId="6" fillId="3" borderId="1" xfId="1" applyFont="1" applyFill="1" applyBorder="1" applyAlignment="1">
      <alignment horizontal="center" vertical="center"/>
    </xf>
    <xf numFmtId="172" fontId="7" fillId="3" borderId="5" xfId="1" applyNumberFormat="1" applyFont="1" applyFill="1" applyBorder="1" applyAlignment="1">
      <alignment vertical="center"/>
    </xf>
    <xf numFmtId="172" fontId="7" fillId="3" borderId="6" xfId="1" applyNumberFormat="1" applyFont="1" applyFill="1" applyBorder="1" applyAlignment="1">
      <alignment vertical="center"/>
    </xf>
    <xf numFmtId="165" fontId="7" fillId="3" borderId="6" xfId="1" applyNumberFormat="1" applyFont="1" applyFill="1" applyBorder="1" applyAlignment="1">
      <alignment vertical="center"/>
    </xf>
    <xf numFmtId="164" fontId="7" fillId="3" borderId="6" xfId="1" applyNumberFormat="1" applyFont="1" applyFill="1" applyBorder="1" applyAlignment="1">
      <alignment vertical="center"/>
    </xf>
    <xf numFmtId="0" fontId="7" fillId="3" borderId="6" xfId="1" applyFont="1" applyFill="1" applyBorder="1" applyAlignment="1">
      <alignment horizontal="left" vertical="center" wrapText="1"/>
    </xf>
    <xf numFmtId="0" fontId="7" fillId="3" borderId="7" xfId="1" applyFont="1" applyFill="1" applyBorder="1" applyAlignment="1">
      <alignment horizontal="center" vertical="center" wrapText="1"/>
    </xf>
    <xf numFmtId="0" fontId="7" fillId="0" borderId="8" xfId="1" applyFont="1" applyBorder="1" applyAlignment="1">
      <alignment vertical="center" wrapText="1"/>
    </xf>
    <xf numFmtId="0" fontId="7" fillId="0" borderId="9" xfId="1" applyFont="1" applyBorder="1" applyAlignment="1">
      <alignment vertical="center"/>
    </xf>
    <xf numFmtId="0" fontId="8" fillId="0" borderId="0" xfId="1" applyFont="1" applyAlignment="1">
      <alignment horizontal="center" vertical="center" wrapText="1"/>
    </xf>
    <xf numFmtId="0" fontId="9" fillId="0" borderId="0" xfId="1" applyFont="1" applyAlignment="1">
      <alignment vertical="center"/>
    </xf>
    <xf numFmtId="0" fontId="9" fillId="0" borderId="0" xfId="1" applyFont="1" applyAlignment="1">
      <alignment horizontal="center" vertical="center"/>
    </xf>
    <xf numFmtId="164" fontId="9" fillId="0" borderId="0" xfId="1" applyNumberFormat="1" applyFont="1" applyAlignment="1">
      <alignment vertical="center"/>
    </xf>
    <xf numFmtId="165" fontId="9" fillId="0" borderId="0" xfId="1" applyNumberFormat="1" applyFont="1" applyAlignment="1">
      <alignment vertical="center"/>
    </xf>
    <xf numFmtId="0" fontId="10" fillId="0" borderId="0" xfId="1" applyFont="1" applyAlignment="1">
      <alignment horizontal="left" vertical="center" wrapText="1"/>
    </xf>
    <xf numFmtId="0" fontId="10" fillId="0" borderId="0" xfId="1" applyFont="1" applyAlignment="1">
      <alignment horizontal="center" vertical="center" wrapText="1"/>
    </xf>
    <xf numFmtId="0" fontId="10" fillId="0" borderId="0" xfId="1" applyFont="1" applyAlignment="1">
      <alignment vertical="center" wrapText="1"/>
    </xf>
    <xf numFmtId="0" fontId="10" fillId="0" borderId="0" xfId="1" applyFont="1" applyAlignment="1">
      <alignment vertical="center"/>
    </xf>
    <xf numFmtId="0" fontId="11" fillId="0" borderId="0" xfId="1" applyFont="1" applyAlignment="1">
      <alignment vertical="center"/>
    </xf>
    <xf numFmtId="164" fontId="7" fillId="3" borderId="3" xfId="1" applyNumberFormat="1" applyFont="1" applyFill="1" applyBorder="1" applyAlignment="1">
      <alignment vertical="center"/>
    </xf>
    <xf numFmtId="0" fontId="9" fillId="3" borderId="1" xfId="1" applyFont="1" applyFill="1" applyBorder="1" applyAlignment="1">
      <alignment vertical="center"/>
    </xf>
    <xf numFmtId="0" fontId="9" fillId="3" borderId="1" xfId="1" applyFont="1" applyFill="1" applyBorder="1" applyAlignment="1">
      <alignment horizontal="center" vertical="center"/>
    </xf>
    <xf numFmtId="164" fontId="9" fillId="3" borderId="3" xfId="1" applyNumberFormat="1" applyFont="1" applyFill="1" applyBorder="1" applyAlignment="1">
      <alignment vertical="center"/>
    </xf>
    <xf numFmtId="164" fontId="9" fillId="3" borderId="10" xfId="1" applyNumberFormat="1" applyFont="1" applyFill="1" applyBorder="1" applyAlignment="1">
      <alignment vertical="center"/>
    </xf>
    <xf numFmtId="165" fontId="9" fillId="3" borderId="10" xfId="1" applyNumberFormat="1" applyFont="1" applyFill="1" applyBorder="1" applyAlignment="1">
      <alignment vertical="center"/>
    </xf>
    <xf numFmtId="0" fontId="9" fillId="3" borderId="10" xfId="1" applyFont="1" applyFill="1" applyBorder="1" applyAlignment="1">
      <alignment horizontal="left" vertical="center" wrapText="1"/>
    </xf>
    <xf numFmtId="0" fontId="9" fillId="3" borderId="11" xfId="1" applyFont="1" applyFill="1" applyBorder="1" applyAlignment="1">
      <alignment horizontal="center" vertical="center" wrapText="1"/>
    </xf>
    <xf numFmtId="0" fontId="9" fillId="0" borderId="0" xfId="1" applyFont="1" applyAlignment="1">
      <alignment vertical="center" wrapText="1"/>
    </xf>
    <xf numFmtId="164" fontId="9" fillId="3" borderId="12" xfId="1" applyNumberFormat="1" applyFont="1" applyFill="1" applyBorder="1" applyAlignment="1">
      <alignment vertical="center"/>
    </xf>
    <xf numFmtId="164" fontId="9" fillId="3" borderId="1" xfId="1" applyNumberFormat="1" applyFont="1" applyFill="1" applyBorder="1" applyAlignment="1">
      <alignment vertical="center"/>
    </xf>
    <xf numFmtId="165" fontId="9" fillId="3" borderId="1" xfId="1" applyNumberFormat="1" applyFont="1" applyFill="1" applyBorder="1" applyAlignment="1">
      <alignment vertical="center"/>
    </xf>
    <xf numFmtId="0" fontId="9" fillId="3" borderId="1" xfId="1" applyFont="1" applyFill="1" applyBorder="1" applyAlignment="1">
      <alignment horizontal="left" vertical="center" wrapText="1"/>
    </xf>
    <xf numFmtId="0" fontId="9" fillId="3" borderId="13" xfId="1" applyFont="1" applyFill="1" applyBorder="1" applyAlignment="1">
      <alignment horizontal="center" vertical="center" wrapText="1"/>
    </xf>
    <xf numFmtId="164" fontId="9" fillId="3" borderId="14" xfId="1" applyNumberFormat="1" applyFont="1" applyFill="1" applyBorder="1" applyAlignment="1">
      <alignment vertical="center"/>
    </xf>
    <xf numFmtId="164" fontId="9" fillId="3" borderId="15" xfId="1" applyNumberFormat="1" applyFont="1" applyFill="1" applyBorder="1" applyAlignment="1">
      <alignment vertical="center"/>
    </xf>
    <xf numFmtId="165" fontId="9" fillId="3" borderId="15" xfId="1" applyNumberFormat="1" applyFont="1" applyFill="1" applyBorder="1" applyAlignment="1">
      <alignment vertical="center"/>
    </xf>
    <xf numFmtId="0" fontId="9" fillId="3" borderId="15" xfId="1" applyFont="1" applyFill="1" applyBorder="1" applyAlignment="1">
      <alignment horizontal="left" vertical="center" wrapText="1"/>
    </xf>
    <xf numFmtId="0" fontId="9" fillId="3" borderId="16" xfId="1" applyFont="1" applyFill="1" applyBorder="1" applyAlignment="1">
      <alignment horizontal="center" vertical="center" wrapText="1"/>
    </xf>
    <xf numFmtId="0" fontId="11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 wrapText="1"/>
    </xf>
    <xf numFmtId="0" fontId="6" fillId="0" borderId="0" xfId="1" applyFont="1" applyAlignment="1">
      <alignment horizontal="center" vertical="center" wrapText="1"/>
    </xf>
    <xf numFmtId="0" fontId="12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8" fillId="0" borderId="0" xfId="1" applyFont="1" applyAlignment="1">
      <alignment horizontal="center" vertical="center"/>
    </xf>
    <xf numFmtId="0" fontId="13" fillId="0" borderId="0" xfId="1" applyFont="1" applyAlignment="1">
      <alignment vertical="center" wrapText="1"/>
    </xf>
    <xf numFmtId="0" fontId="9" fillId="4" borderId="0" xfId="1" applyFont="1" applyFill="1" applyAlignment="1">
      <alignment vertical="center"/>
    </xf>
    <xf numFmtId="0" fontId="11" fillId="4" borderId="0" xfId="1" applyFont="1" applyFill="1" applyAlignment="1">
      <alignment horizontal="left" vertical="center" wrapText="1"/>
    </xf>
    <xf numFmtId="0" fontId="7" fillId="0" borderId="0" xfId="1" applyFont="1" applyAlignment="1">
      <alignment horizontal="center" vertical="center"/>
    </xf>
    <xf numFmtId="164" fontId="7" fillId="3" borderId="17" xfId="1" applyNumberFormat="1" applyFont="1" applyFill="1" applyBorder="1" applyAlignment="1">
      <alignment vertical="center"/>
    </xf>
    <xf numFmtId="0" fontId="2" fillId="3" borderId="10" xfId="1" applyFont="1" applyFill="1" applyBorder="1" applyAlignment="1">
      <alignment horizontal="left" vertical="center" wrapText="1"/>
    </xf>
    <xf numFmtId="0" fontId="2" fillId="3" borderId="11" xfId="1" applyFont="1" applyFill="1" applyBorder="1" applyAlignment="1">
      <alignment horizontal="center" vertical="center" wrapText="1"/>
    </xf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left" vertical="center" wrapText="1" indent="2"/>
    </xf>
    <xf numFmtId="164" fontId="9" fillId="3" borderId="19" xfId="1" applyNumberFormat="1" applyFont="1" applyFill="1" applyBorder="1" applyAlignment="1">
      <alignment vertical="center"/>
    </xf>
    <xf numFmtId="164" fontId="9" fillId="3" borderId="2" xfId="1" applyNumberFormat="1" applyFont="1" applyFill="1" applyBorder="1" applyAlignment="1">
      <alignment vertical="center"/>
    </xf>
    <xf numFmtId="165" fontId="9" fillId="3" borderId="2" xfId="1" applyNumberFormat="1" applyFont="1" applyFill="1" applyBorder="1" applyAlignment="1">
      <alignment vertical="center"/>
    </xf>
    <xf numFmtId="0" fontId="2" fillId="3" borderId="2" xfId="1" applyFont="1" applyFill="1" applyBorder="1" applyAlignment="1">
      <alignment horizontal="left" vertical="center" wrapText="1"/>
    </xf>
    <xf numFmtId="0" fontId="2" fillId="3" borderId="20" xfId="1" applyFont="1" applyFill="1" applyBorder="1" applyAlignment="1">
      <alignment horizontal="center" vertical="center" wrapText="1"/>
    </xf>
    <xf numFmtId="0" fontId="4" fillId="5" borderId="0" xfId="3" applyFill="1"/>
    <xf numFmtId="0" fontId="2" fillId="5" borderId="0" xfId="1" applyFont="1" applyFill="1" applyAlignment="1">
      <alignment vertical="center" wrapText="1"/>
    </xf>
    <xf numFmtId="0" fontId="9" fillId="4" borderId="0" xfId="1" applyFont="1" applyFill="1" applyAlignment="1">
      <alignment horizontal="center" vertical="center"/>
    </xf>
    <xf numFmtId="0" fontId="2" fillId="5" borderId="0" xfId="1" applyFont="1" applyFill="1" applyAlignment="1">
      <alignment horizontal="left" vertical="center"/>
    </xf>
    <xf numFmtId="0" fontId="14" fillId="5" borderId="0" xfId="1" applyFont="1" applyFill="1" applyAlignment="1">
      <alignment vertical="center" wrapText="1"/>
    </xf>
    <xf numFmtId="0" fontId="15" fillId="5" borderId="0" xfId="1" applyFont="1" applyFill="1" applyAlignment="1">
      <alignment vertical="center" wrapText="1"/>
    </xf>
    <xf numFmtId="0" fontId="2" fillId="3" borderId="1" xfId="1" applyFont="1" applyFill="1" applyBorder="1" applyAlignment="1">
      <alignment horizontal="left" vertical="center" wrapText="1"/>
    </xf>
    <xf numFmtId="0" fontId="2" fillId="3" borderId="13" xfId="1" applyFont="1" applyFill="1" applyBorder="1" applyAlignment="1">
      <alignment horizontal="center" vertical="center" wrapText="1"/>
    </xf>
    <xf numFmtId="0" fontId="16" fillId="5" borderId="0" xfId="1" applyFont="1" applyFill="1" applyAlignment="1">
      <alignment vertical="center" wrapText="1"/>
    </xf>
    <xf numFmtId="0" fontId="17" fillId="5" borderId="0" xfId="1" applyFont="1" applyFill="1" applyAlignment="1">
      <alignment vertical="center" wrapText="1"/>
    </xf>
    <xf numFmtId="0" fontId="2" fillId="6" borderId="13" xfId="1" applyFont="1" applyFill="1" applyBorder="1" applyAlignment="1">
      <alignment horizontal="center" vertical="center" wrapText="1"/>
    </xf>
    <xf numFmtId="0" fontId="2" fillId="0" borderId="0" xfId="1" applyFont="1"/>
    <xf numFmtId="0" fontId="2" fillId="0" borderId="0" xfId="1" applyFont="1" applyAlignment="1">
      <alignment vertical="center" wrapText="1"/>
    </xf>
    <xf numFmtId="0" fontId="9" fillId="3" borderId="1" xfId="1" applyFont="1" applyFill="1" applyBorder="1" applyAlignment="1">
      <alignment vertical="center" wrapText="1"/>
    </xf>
    <xf numFmtId="164" fontId="9" fillId="3" borderId="1" xfId="1" applyNumberFormat="1" applyFont="1" applyFill="1" applyBorder="1" applyAlignment="1">
      <alignment horizontal="center" vertical="center" wrapText="1"/>
    </xf>
    <xf numFmtId="0" fontId="18" fillId="0" borderId="0" xfId="1" applyFont="1" applyAlignment="1">
      <alignment vertical="center" wrapText="1"/>
    </xf>
    <xf numFmtId="0" fontId="2" fillId="5" borderId="0" xfId="1" applyFont="1" applyFill="1" applyAlignment="1">
      <alignment horizontal="left" vertical="center" wrapText="1"/>
    </xf>
    <xf numFmtId="0" fontId="14" fillId="5" borderId="0" xfId="1" applyFont="1" applyFill="1" applyAlignment="1">
      <alignment horizontal="left" vertical="center" wrapText="1"/>
    </xf>
    <xf numFmtId="164" fontId="9" fillId="3" borderId="23" xfId="1" applyNumberFormat="1" applyFont="1" applyFill="1" applyBorder="1" applyAlignment="1">
      <alignment vertical="center"/>
    </xf>
    <xf numFmtId="164" fontId="9" fillId="3" borderId="18" xfId="1" applyNumberFormat="1" applyFont="1" applyFill="1" applyBorder="1" applyAlignment="1">
      <alignment vertical="center"/>
    </xf>
    <xf numFmtId="165" fontId="9" fillId="3" borderId="18" xfId="1" applyNumberFormat="1" applyFont="1" applyFill="1" applyBorder="1" applyAlignment="1">
      <alignment vertical="center"/>
    </xf>
    <xf numFmtId="0" fontId="2" fillId="3" borderId="1" xfId="1" applyFont="1" applyFill="1" applyBorder="1" applyAlignment="1">
      <alignment vertical="center" wrapText="1"/>
    </xf>
    <xf numFmtId="0" fontId="2" fillId="3" borderId="13" xfId="1" applyFont="1" applyFill="1" applyBorder="1" applyAlignment="1">
      <alignment vertical="center" wrapText="1"/>
    </xf>
    <xf numFmtId="0" fontId="2" fillId="0" borderId="0" xfId="1" applyFont="1" applyAlignment="1">
      <alignment vertical="center"/>
    </xf>
    <xf numFmtId="0" fontId="2" fillId="4" borderId="0" xfId="1" applyFont="1" applyFill="1" applyAlignment="1">
      <alignment vertical="center"/>
    </xf>
    <xf numFmtId="0" fontId="2" fillId="4" borderId="0" xfId="1" applyFont="1" applyFill="1" applyAlignment="1">
      <alignment vertical="center" wrapText="1"/>
    </xf>
    <xf numFmtId="0" fontId="9" fillId="5" borderId="0" xfId="1" applyFont="1" applyFill="1" applyAlignment="1">
      <alignment vertical="center"/>
    </xf>
    <xf numFmtId="164" fontId="9" fillId="3" borderId="24" xfId="1" applyNumberFormat="1" applyFont="1" applyFill="1" applyBorder="1" applyAlignment="1">
      <alignment vertical="center"/>
    </xf>
    <xf numFmtId="0" fontId="6" fillId="3" borderId="0" xfId="1" applyFont="1" applyFill="1" applyAlignment="1">
      <alignment vertical="center"/>
    </xf>
    <xf numFmtId="0" fontId="6" fillId="3" borderId="0" xfId="1" applyFont="1" applyFill="1" applyAlignment="1">
      <alignment horizontal="center" vertical="center"/>
    </xf>
    <xf numFmtId="164" fontId="6" fillId="3" borderId="0" xfId="1" applyNumberFormat="1" applyFont="1" applyFill="1" applyAlignment="1">
      <alignment vertical="center"/>
    </xf>
    <xf numFmtId="165" fontId="6" fillId="3" borderId="0" xfId="1" applyNumberFormat="1" applyFont="1" applyFill="1" applyAlignment="1">
      <alignment vertical="center"/>
    </xf>
    <xf numFmtId="0" fontId="6" fillId="3" borderId="0" xfId="1" applyFont="1" applyFill="1" applyAlignment="1">
      <alignment horizontal="left" vertical="center" wrapText="1"/>
    </xf>
    <xf numFmtId="0" fontId="6" fillId="3" borderId="0" xfId="1" applyFont="1" applyFill="1" applyAlignment="1">
      <alignment horizontal="center" vertical="center" wrapText="1"/>
    </xf>
    <xf numFmtId="0" fontId="6" fillId="3" borderId="0" xfId="1" applyFont="1" applyFill="1" applyAlignment="1">
      <alignment horizontal="left" vertical="center"/>
    </xf>
    <xf numFmtId="164" fontId="7" fillId="3" borderId="4" xfId="1" applyNumberFormat="1" applyFont="1" applyFill="1" applyBorder="1" applyAlignment="1">
      <alignment vertical="center"/>
    </xf>
    <xf numFmtId="164" fontId="7" fillId="3" borderId="25" xfId="1" applyNumberFormat="1" applyFont="1" applyFill="1" applyBorder="1" applyAlignment="1">
      <alignment vertical="center"/>
    </xf>
    <xf numFmtId="165" fontId="7" fillId="3" borderId="26" xfId="1" applyNumberFormat="1" applyFont="1" applyFill="1" applyBorder="1" applyAlignment="1">
      <alignment vertical="center"/>
    </xf>
    <xf numFmtId="164" fontId="7" fillId="3" borderId="26" xfId="1" applyNumberFormat="1" applyFont="1" applyFill="1" applyBorder="1" applyAlignment="1">
      <alignment vertical="center"/>
    </xf>
    <xf numFmtId="0" fontId="7" fillId="3" borderId="26" xfId="1" applyFont="1" applyFill="1" applyBorder="1" applyAlignment="1">
      <alignment horizontal="left" vertical="center" wrapText="1"/>
    </xf>
    <xf numFmtId="0" fontId="7" fillId="3" borderId="27" xfId="1" applyFont="1" applyFill="1" applyBorder="1" applyAlignment="1">
      <alignment horizontal="center" vertical="center" wrapText="1"/>
    </xf>
    <xf numFmtId="0" fontId="9" fillId="3" borderId="28" xfId="1" applyFont="1" applyFill="1" applyBorder="1" applyAlignment="1">
      <alignment horizontal="left" vertical="center" wrapText="1"/>
    </xf>
    <xf numFmtId="0" fontId="9" fillId="0" borderId="0" xfId="1" applyFont="1" applyAlignment="1">
      <alignment horizontal="left" vertical="center" wrapText="1"/>
    </xf>
    <xf numFmtId="0" fontId="9" fillId="3" borderId="29" xfId="1" applyFont="1" applyFill="1" applyBorder="1" applyAlignment="1">
      <alignment horizontal="left" vertical="center" wrapText="1"/>
    </xf>
    <xf numFmtId="0" fontId="9" fillId="6" borderId="20" xfId="1" applyFont="1" applyFill="1" applyBorder="1" applyAlignment="1">
      <alignment horizontal="center" vertical="center" wrapText="1"/>
    </xf>
    <xf numFmtId="0" fontId="9" fillId="5" borderId="0" xfId="1" applyFont="1" applyFill="1" applyAlignment="1">
      <alignment vertical="center" wrapText="1"/>
    </xf>
    <xf numFmtId="0" fontId="2" fillId="3" borderId="30" xfId="1" applyFont="1" applyFill="1" applyBorder="1" applyAlignment="1">
      <alignment horizontal="left" vertical="center" wrapText="1"/>
    </xf>
    <xf numFmtId="0" fontId="9" fillId="3" borderId="20" xfId="1" applyFont="1" applyFill="1" applyBorder="1" applyAlignment="1">
      <alignment horizontal="center" vertical="center" wrapText="1"/>
    </xf>
    <xf numFmtId="0" fontId="14" fillId="6" borderId="0" xfId="1" applyFont="1" applyFill="1" applyAlignment="1">
      <alignment vertical="center" wrapText="1"/>
    </xf>
    <xf numFmtId="0" fontId="14" fillId="0" borderId="0" xfId="1" applyFont="1" applyAlignment="1">
      <alignment vertical="center" wrapText="1"/>
    </xf>
    <xf numFmtId="165" fontId="9" fillId="4" borderId="1" xfId="1" applyNumberFormat="1" applyFont="1" applyFill="1" applyBorder="1" applyAlignment="1">
      <alignment vertical="center"/>
    </xf>
    <xf numFmtId="164" fontId="9" fillId="4" borderId="2" xfId="1" applyNumberFormat="1" applyFont="1" applyFill="1" applyBorder="1" applyAlignment="1">
      <alignment vertical="center"/>
    </xf>
    <xf numFmtId="165" fontId="9" fillId="4" borderId="2" xfId="1" applyNumberFormat="1" applyFont="1" applyFill="1" applyBorder="1" applyAlignment="1">
      <alignment vertical="center"/>
    </xf>
    <xf numFmtId="0" fontId="9" fillId="4" borderId="29" xfId="1" applyFont="1" applyFill="1" applyBorder="1" applyAlignment="1">
      <alignment horizontal="left" vertical="center" wrapText="1"/>
    </xf>
    <xf numFmtId="0" fontId="9" fillId="3" borderId="30" xfId="1" applyFont="1" applyFill="1" applyBorder="1" applyAlignment="1">
      <alignment horizontal="left" vertical="center" wrapText="1"/>
    </xf>
    <xf numFmtId="0" fontId="2" fillId="3" borderId="0" xfId="1" applyFont="1" applyFill="1" applyAlignment="1">
      <alignment horizontal="left" vertical="center" wrapText="1"/>
    </xf>
    <xf numFmtId="0" fontId="2" fillId="7" borderId="13" xfId="1" applyFont="1" applyFill="1" applyBorder="1" applyAlignment="1">
      <alignment horizontal="center" vertical="center" wrapText="1"/>
    </xf>
    <xf numFmtId="0" fontId="2" fillId="7" borderId="0" xfId="1" applyFont="1" applyFill="1"/>
    <xf numFmtId="0" fontId="9" fillId="7" borderId="0" xfId="1" applyFont="1" applyFill="1" applyAlignment="1">
      <alignment vertical="center" wrapText="1"/>
    </xf>
    <xf numFmtId="0" fontId="14" fillId="7" borderId="0" xfId="1" applyFont="1" applyFill="1" applyAlignment="1">
      <alignment vertical="center" wrapText="1"/>
    </xf>
    <xf numFmtId="0" fontId="9" fillId="3" borderId="1" xfId="1" applyFont="1" applyFill="1" applyBorder="1" applyAlignment="1">
      <alignment horizontal="left" vertical="center"/>
    </xf>
    <xf numFmtId="0" fontId="9" fillId="3" borderId="13" xfId="1" applyFont="1" applyFill="1" applyBorder="1" applyAlignment="1">
      <alignment horizontal="center" vertical="center"/>
    </xf>
    <xf numFmtId="0" fontId="2" fillId="5" borderId="0" xfId="1" applyFont="1" applyFill="1"/>
    <xf numFmtId="0" fontId="2" fillId="8" borderId="30" xfId="1" applyFont="1" applyFill="1" applyBorder="1" applyAlignment="1">
      <alignment horizontal="left" vertical="center" wrapText="1"/>
    </xf>
    <xf numFmtId="0" fontId="2" fillId="8" borderId="13" xfId="1" applyFont="1" applyFill="1" applyBorder="1" applyAlignment="1">
      <alignment horizontal="center" vertical="center" wrapText="1"/>
    </xf>
    <xf numFmtId="0" fontId="9" fillId="6" borderId="0" xfId="1" applyFont="1" applyFill="1"/>
    <xf numFmtId="164" fontId="9" fillId="3" borderId="21" xfId="1" applyNumberFormat="1" applyFont="1" applyFill="1" applyBorder="1" applyAlignment="1">
      <alignment vertical="center"/>
    </xf>
    <xf numFmtId="165" fontId="9" fillId="3" borderId="21" xfId="1" applyNumberFormat="1" applyFont="1" applyFill="1" applyBorder="1" applyAlignment="1">
      <alignment vertical="center"/>
    </xf>
    <xf numFmtId="0" fontId="9" fillId="0" borderId="0" xfId="1" applyFont="1" applyAlignment="1">
      <alignment horizontal="center" vertical="center" wrapText="1"/>
    </xf>
    <xf numFmtId="0" fontId="7" fillId="9" borderId="1" xfId="1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0" fontId="7" fillId="10" borderId="1" xfId="1" applyFont="1" applyFill="1" applyBorder="1" applyAlignment="1">
      <alignment horizontal="center" vertical="center"/>
    </xf>
    <xf numFmtId="164" fontId="6" fillId="3" borderId="24" xfId="1" applyNumberFormat="1" applyFont="1" applyFill="1" applyBorder="1" applyAlignment="1">
      <alignment vertical="center"/>
    </xf>
    <xf numFmtId="165" fontId="6" fillId="3" borderId="15" xfId="1" applyNumberFormat="1" applyFont="1" applyFill="1" applyBorder="1" applyAlignment="1">
      <alignment horizontal="center" vertical="center"/>
    </xf>
    <xf numFmtId="0" fontId="2" fillId="3" borderId="31" xfId="1" applyFont="1" applyFill="1" applyBorder="1" applyAlignment="1">
      <alignment horizontal="left" vertical="center" wrapText="1"/>
    </xf>
    <xf numFmtId="0" fontId="2" fillId="8" borderId="16" xfId="1" applyFont="1" applyFill="1" applyBorder="1" applyAlignment="1">
      <alignment horizontal="center" vertical="center" wrapText="1"/>
    </xf>
    <xf numFmtId="0" fontId="6" fillId="0" borderId="0" xfId="1" applyFont="1" applyAlignment="1">
      <alignment horizontal="right" vertical="center" wrapText="1"/>
    </xf>
    <xf numFmtId="0" fontId="19" fillId="0" borderId="0" xfId="1" applyFont="1" applyAlignment="1">
      <alignment vertical="center"/>
    </xf>
    <xf numFmtId="164" fontId="20" fillId="2" borderId="0" xfId="1" applyNumberFormat="1" applyFont="1" applyFill="1" applyAlignment="1">
      <alignment vertical="center"/>
    </xf>
    <xf numFmtId="165" fontId="20" fillId="2" borderId="0" xfId="1" applyNumberFormat="1" applyFont="1" applyFill="1" applyAlignment="1">
      <alignment vertical="center"/>
    </xf>
    <xf numFmtId="0" fontId="20" fillId="2" borderId="0" xfId="1" applyFont="1" applyFill="1" applyAlignment="1">
      <alignment horizontal="left" vertical="center"/>
    </xf>
    <xf numFmtId="0" fontId="20" fillId="2" borderId="0" xfId="1" applyFont="1" applyFill="1" applyAlignment="1">
      <alignment horizontal="center" vertical="center"/>
    </xf>
    <xf numFmtId="0" fontId="20" fillId="2" borderId="0" xfId="1" applyFont="1" applyFill="1" applyAlignment="1">
      <alignment vertical="center"/>
    </xf>
    <xf numFmtId="0" fontId="21" fillId="2" borderId="0" xfId="1" applyFont="1" applyFill="1" applyAlignment="1">
      <alignment vertical="center" wrapText="1"/>
    </xf>
    <xf numFmtId="0" fontId="21" fillId="2" borderId="0" xfId="1" applyFont="1" applyFill="1" applyAlignment="1">
      <alignment vertical="center"/>
    </xf>
    <xf numFmtId="0" fontId="5" fillId="2" borderId="0" xfId="1" applyFont="1" applyFill="1" applyAlignment="1">
      <alignment vertical="center"/>
    </xf>
    <xf numFmtId="0" fontId="22" fillId="2" borderId="0" xfId="1" applyFont="1" applyFill="1" applyAlignment="1">
      <alignment horizontal="center" vertical="center"/>
    </xf>
    <xf numFmtId="164" fontId="2" fillId="0" borderId="0" xfId="1" applyNumberFormat="1" applyFont="1" applyAlignment="1">
      <alignment vertical="center"/>
    </xf>
    <xf numFmtId="165" fontId="2" fillId="0" borderId="0" xfId="1" applyNumberFormat="1" applyFont="1" applyAlignment="1">
      <alignment vertical="center"/>
    </xf>
    <xf numFmtId="0" fontId="2" fillId="0" borderId="0" xfId="1" applyFont="1" applyAlignment="1">
      <alignment horizontal="center" vertical="center"/>
    </xf>
    <xf numFmtId="0" fontId="23" fillId="0" borderId="0" xfId="1" applyFont="1" applyAlignment="1">
      <alignment vertical="center"/>
    </xf>
    <xf numFmtId="173" fontId="1" fillId="7" borderId="29" xfId="1" applyNumberFormat="1" applyFill="1" applyBorder="1" applyAlignment="1">
      <alignment vertical="center"/>
    </xf>
    <xf numFmtId="165" fontId="1" fillId="7" borderId="19" xfId="1" applyNumberFormat="1" applyFill="1" applyBorder="1" applyAlignment="1">
      <alignment vertical="center"/>
    </xf>
    <xf numFmtId="165" fontId="1" fillId="7" borderId="30" xfId="1" applyNumberFormat="1" applyFill="1" applyBorder="1" applyAlignment="1">
      <alignment vertical="center"/>
    </xf>
    <xf numFmtId="165" fontId="1" fillId="7" borderId="12" xfId="1" applyNumberFormat="1" applyFill="1" applyBorder="1" applyAlignment="1">
      <alignment vertical="center"/>
    </xf>
    <xf numFmtId="0" fontId="24" fillId="0" borderId="0" xfId="1" applyFont="1" applyAlignment="1">
      <alignment vertical="center"/>
    </xf>
    <xf numFmtId="164" fontId="24" fillId="0" borderId="0" xfId="1" applyNumberFormat="1" applyFont="1" applyAlignment="1">
      <alignment vertical="center"/>
    </xf>
    <xf numFmtId="165" fontId="24" fillId="0" borderId="0" xfId="1" applyNumberFormat="1" applyFont="1" applyAlignment="1">
      <alignment vertical="center"/>
    </xf>
    <xf numFmtId="0" fontId="24" fillId="0" borderId="0" xfId="1" applyFont="1" applyAlignment="1">
      <alignment horizontal="left" vertical="center"/>
    </xf>
    <xf numFmtId="0" fontId="24" fillId="0" borderId="0" xfId="1" applyFont="1" applyAlignment="1">
      <alignment horizontal="center" vertical="center"/>
    </xf>
    <xf numFmtId="0" fontId="24" fillId="0" borderId="1" xfId="1" applyFont="1" applyBorder="1" applyAlignment="1">
      <alignment horizontal="left" vertical="center"/>
    </xf>
    <xf numFmtId="0" fontId="24" fillId="0" borderId="32" xfId="1" applyFont="1" applyBorder="1" applyAlignment="1">
      <alignment vertical="center"/>
    </xf>
    <xf numFmtId="0" fontId="24" fillId="0" borderId="12" xfId="1" applyFont="1" applyBorder="1" applyAlignment="1">
      <alignment vertical="center"/>
    </xf>
    <xf numFmtId="0" fontId="25" fillId="0" borderId="1" xfId="1" applyFont="1" applyBorder="1"/>
    <xf numFmtId="0" fontId="26" fillId="0" borderId="1" xfId="1" applyFont="1" applyBorder="1" applyAlignment="1">
      <alignment horizontal="left" vertical="center"/>
    </xf>
    <xf numFmtId="0" fontId="4" fillId="0" borderId="0" xfId="1" applyFont="1" applyAlignment="1">
      <alignment vertical="center"/>
    </xf>
    <xf numFmtId="164" fontId="4" fillId="0" borderId="0" xfId="1" applyNumberFormat="1" applyFont="1" applyAlignment="1">
      <alignment vertical="center"/>
    </xf>
    <xf numFmtId="165" fontId="4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0" borderId="0" xfId="1" applyFont="1" applyAlignment="1">
      <alignment horizontal="center" vertical="center"/>
    </xf>
    <xf numFmtId="0" fontId="27" fillId="2" borderId="1" xfId="1" applyFont="1" applyFill="1" applyBorder="1" applyAlignment="1">
      <alignment horizontal="left" vertical="center"/>
    </xf>
    <xf numFmtId="165" fontId="9" fillId="3" borderId="1" xfId="1" applyNumberFormat="1" applyFont="1" applyFill="1" applyBorder="1" applyAlignment="1">
      <alignment horizontal="center" vertical="center"/>
    </xf>
    <xf numFmtId="164" fontId="9" fillId="3" borderId="1" xfId="1" applyNumberFormat="1" applyFont="1" applyFill="1" applyBorder="1" applyAlignment="1">
      <alignment horizontal="center" vertical="center"/>
    </xf>
    <xf numFmtId="38" fontId="1" fillId="0" borderId="2" xfId="1" applyNumberFormat="1" applyBorder="1" applyAlignment="1">
      <alignment horizontal="center" vertical="center"/>
    </xf>
    <xf numFmtId="38" fontId="1" fillId="0" borderId="1" xfId="1" applyNumberFormat="1" applyBorder="1" applyAlignment="1">
      <alignment horizontal="center" vertical="center"/>
    </xf>
    <xf numFmtId="0" fontId="7" fillId="0" borderId="0" xfId="1" applyFont="1" applyAlignment="1">
      <alignment horizontal="left" vertical="center" wrapText="1"/>
    </xf>
    <xf numFmtId="0" fontId="18" fillId="0" borderId="0" xfId="1" applyFont="1" applyAlignment="1">
      <alignment horizontal="left" vertical="center" wrapText="1"/>
    </xf>
    <xf numFmtId="0" fontId="18" fillId="0" borderId="22" xfId="1" applyFont="1" applyBorder="1" applyAlignment="1">
      <alignment horizontal="left" vertical="center" wrapText="1"/>
    </xf>
    <xf numFmtId="165" fontId="5" fillId="2" borderId="4" xfId="1" applyNumberFormat="1" applyFont="1" applyFill="1" applyBorder="1" applyAlignment="1">
      <alignment horizontal="center" vertical="center"/>
    </xf>
    <xf numFmtId="0" fontId="9" fillId="3" borderId="2" xfId="1" applyFont="1" applyFill="1" applyBorder="1" applyAlignment="1">
      <alignment horizontal="center" vertical="center"/>
    </xf>
    <xf numFmtId="0" fontId="9" fillId="3" borderId="21" xfId="1" applyFont="1" applyFill="1" applyBorder="1" applyAlignment="1">
      <alignment horizontal="center" vertical="center"/>
    </xf>
    <xf numFmtId="0" fontId="9" fillId="3" borderId="18" xfId="1" applyFont="1" applyFill="1" applyBorder="1" applyAlignment="1">
      <alignment horizontal="center" vertical="center"/>
    </xf>
    <xf numFmtId="164" fontId="9" fillId="3" borderId="2" xfId="1" applyNumberFormat="1" applyFont="1" applyFill="1" applyBorder="1" applyAlignment="1">
      <alignment horizontal="center" vertical="center"/>
    </xf>
    <xf numFmtId="164" fontId="9" fillId="3" borderId="21" xfId="1" applyNumberFormat="1" applyFont="1" applyFill="1" applyBorder="1" applyAlignment="1">
      <alignment horizontal="center" vertical="center"/>
    </xf>
    <xf numFmtId="164" fontId="9" fillId="3" borderId="18" xfId="1" applyNumberFormat="1" applyFont="1" applyFill="1" applyBorder="1" applyAlignment="1">
      <alignment horizontal="center" vertical="center"/>
    </xf>
    <xf numFmtId="165" fontId="9" fillId="3" borderId="2" xfId="1" applyNumberFormat="1" applyFont="1" applyFill="1" applyBorder="1" applyAlignment="1">
      <alignment horizontal="center" vertical="center"/>
    </xf>
    <xf numFmtId="165" fontId="9" fillId="3" borderId="21" xfId="1" applyNumberFormat="1" applyFont="1" applyFill="1" applyBorder="1" applyAlignment="1">
      <alignment horizontal="center" vertical="center"/>
    </xf>
    <xf numFmtId="165" fontId="9" fillId="3" borderId="18" xfId="1" applyNumberFormat="1" applyFont="1" applyFill="1" applyBorder="1" applyAlignment="1">
      <alignment horizontal="center" vertical="center"/>
    </xf>
    <xf numFmtId="0" fontId="9" fillId="3" borderId="1" xfId="1" applyFont="1" applyFill="1" applyBorder="1" applyAlignment="1">
      <alignment horizontal="center" vertical="center"/>
    </xf>
    <xf numFmtId="0" fontId="4" fillId="3" borderId="1" xfId="3" applyFill="1" applyBorder="1" applyAlignment="1">
      <alignment horizontal="center" vertical="center"/>
    </xf>
  </cellXfs>
  <cellStyles count="4">
    <cellStyle name="Comma 2" xfId="2" xr:uid="{7CEEB258-9C71-42F4-A19C-DA93DBBDA1D2}"/>
    <cellStyle name="Normal" xfId="0" builtinId="0"/>
    <cellStyle name="Normal 2" xfId="1" xr:uid="{BD3D7E81-914A-4C0F-A04B-EB603A26D475}"/>
    <cellStyle name="Normal 3" xfId="3" xr:uid="{6D6D68B5-83DB-4A20-B8D2-F9CDC69696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C8AD-5AE5-40C0-B481-5264AB2E3516}">
  <dimension ref="A1:M143"/>
  <sheetViews>
    <sheetView showGridLines="0" tabSelected="1" topLeftCell="A5" zoomScale="85" zoomScaleNormal="85" workbookViewId="0">
      <selection activeCell="C26" sqref="C26"/>
    </sheetView>
  </sheetViews>
  <sheetFormatPr defaultColWidth="8.77734375" defaultRowHeight="14.4" x14ac:dyDescent="0.3"/>
  <cols>
    <col min="1" max="1" width="6.109375" style="6" customWidth="1"/>
    <col min="2" max="2" width="31.109375" style="1" bestFit="1" customWidth="1"/>
    <col min="3" max="3" width="48.5546875" style="1" customWidth="1"/>
    <col min="4" max="4" width="10.44140625" style="5" customWidth="1"/>
    <col min="5" max="5" width="10.44140625" style="4" customWidth="1"/>
    <col min="6" max="6" width="20.21875" style="3" customWidth="1"/>
    <col min="7" max="7" width="20.21875" style="2" customWidth="1"/>
    <col min="8" max="8" width="23.77734375" style="3" bestFit="1" customWidth="1"/>
    <col min="9" max="9" width="22.44140625" style="2" customWidth="1"/>
    <col min="10" max="10" width="20.21875" style="2" customWidth="1"/>
    <col min="11" max="11" width="27.77734375" style="1" bestFit="1" customWidth="1"/>
    <col min="12" max="12" width="15.88671875" style="1" bestFit="1" customWidth="1"/>
    <col min="13" max="13" width="32.33203125" style="1" customWidth="1"/>
    <col min="14" max="16384" width="8.77734375" style="1"/>
  </cols>
  <sheetData>
    <row r="1" spans="1:13" ht="15" customHeight="1" x14ac:dyDescent="0.3"/>
    <row r="2" spans="1:13" s="198" customFormat="1" ht="20.100000000000001" customHeight="1" x14ac:dyDescent="0.3">
      <c r="A2" s="203" t="s">
        <v>237</v>
      </c>
      <c r="B2" s="203"/>
      <c r="C2" s="203"/>
      <c r="D2" s="202"/>
      <c r="E2" s="201"/>
      <c r="F2" s="200"/>
      <c r="G2" s="199"/>
      <c r="H2" s="200"/>
      <c r="I2" s="199"/>
      <c r="J2" s="199"/>
    </row>
    <row r="3" spans="1:13" s="188" customFormat="1" ht="20.100000000000001" customHeight="1" x14ac:dyDescent="0.3">
      <c r="A3" s="197" t="s">
        <v>236</v>
      </c>
      <c r="B3" s="197"/>
      <c r="C3" s="193" t="s">
        <v>235</v>
      </c>
      <c r="D3" s="192"/>
      <c r="E3" s="191"/>
      <c r="F3" s="190"/>
      <c r="G3" s="189"/>
      <c r="H3" s="190"/>
      <c r="I3" s="189"/>
      <c r="J3" s="189"/>
    </row>
    <row r="4" spans="1:13" s="188" customFormat="1" ht="20.100000000000001" customHeight="1" x14ac:dyDescent="0.4">
      <c r="A4" s="195" t="s">
        <v>234</v>
      </c>
      <c r="B4" s="194"/>
      <c r="C4" s="196" t="s">
        <v>233</v>
      </c>
      <c r="D4" s="192"/>
      <c r="E4" s="191"/>
      <c r="F4" s="190"/>
      <c r="G4" s="189"/>
      <c r="H4" s="190"/>
      <c r="I4" s="189"/>
      <c r="J4" s="189"/>
    </row>
    <row r="5" spans="1:13" s="188" customFormat="1" ht="20.100000000000001" customHeight="1" x14ac:dyDescent="0.3">
      <c r="A5" s="193" t="s">
        <v>232</v>
      </c>
      <c r="B5" s="193"/>
      <c r="C5" s="193"/>
      <c r="D5" s="192"/>
      <c r="E5" s="191"/>
      <c r="F5" s="190"/>
      <c r="G5" s="189"/>
      <c r="H5" s="190"/>
      <c r="I5" s="189"/>
      <c r="J5" s="189"/>
    </row>
    <row r="6" spans="1:13" s="188" customFormat="1" ht="20.100000000000001" customHeight="1" x14ac:dyDescent="0.3">
      <c r="A6" s="195" t="s">
        <v>231</v>
      </c>
      <c r="B6" s="194"/>
      <c r="C6" s="193"/>
      <c r="D6" s="192"/>
      <c r="E6" s="191"/>
      <c r="F6" s="190"/>
      <c r="G6" s="189"/>
      <c r="H6" s="190"/>
      <c r="I6" s="189"/>
      <c r="J6" s="189"/>
    </row>
    <row r="7" spans="1:13" s="188" customFormat="1" ht="20.100000000000001" customHeight="1" x14ac:dyDescent="0.3">
      <c r="A7" s="195" t="s">
        <v>230</v>
      </c>
      <c r="B7" s="194"/>
      <c r="C7" s="193"/>
      <c r="D7" s="192"/>
      <c r="E7" s="191"/>
      <c r="F7" s="190"/>
      <c r="G7" s="189"/>
      <c r="H7" s="190"/>
      <c r="I7" s="189"/>
      <c r="J7" s="189"/>
    </row>
    <row r="8" spans="1:13" ht="15" customHeight="1" x14ac:dyDescent="0.3">
      <c r="A8" s="4"/>
      <c r="B8" s="4"/>
      <c r="F8" s="187" t="s">
        <v>229</v>
      </c>
      <c r="G8" s="186">
        <v>15500</v>
      </c>
    </row>
    <row r="9" spans="1:13" ht="15" customHeight="1" x14ac:dyDescent="0.3">
      <c r="F9" s="185" t="s">
        <v>228</v>
      </c>
      <c r="G9" s="184">
        <f ca="1">TODAY()</f>
        <v>45733</v>
      </c>
    </row>
    <row r="10" spans="1:13" s="116" customFormat="1" ht="3" customHeight="1" x14ac:dyDescent="0.3">
      <c r="A10" s="183"/>
      <c r="D10" s="182"/>
      <c r="E10" s="86"/>
      <c r="F10" s="181"/>
      <c r="G10" s="180"/>
      <c r="H10" s="181"/>
      <c r="I10" s="180"/>
      <c r="J10" s="180"/>
    </row>
    <row r="11" spans="1:13" s="170" customFormat="1" ht="15" customHeight="1" x14ac:dyDescent="0.3">
      <c r="A11" s="179" t="s">
        <v>227</v>
      </c>
      <c r="B11" s="178" t="s">
        <v>226</v>
      </c>
      <c r="C11" s="175"/>
      <c r="D11" s="174"/>
      <c r="E11" s="173"/>
      <c r="F11" s="172"/>
      <c r="G11" s="171"/>
      <c r="H11" s="172"/>
      <c r="I11" s="171"/>
      <c r="J11" s="171"/>
    </row>
    <row r="12" spans="1:13" s="170" customFormat="1" ht="15" customHeight="1" x14ac:dyDescent="0.3">
      <c r="A12" s="177"/>
      <c r="B12" s="176" t="s">
        <v>225</v>
      </c>
      <c r="C12" s="175"/>
      <c r="D12" s="174"/>
      <c r="E12" s="173"/>
      <c r="F12" s="172"/>
      <c r="G12" s="171"/>
      <c r="H12" s="172"/>
      <c r="I12" s="171"/>
      <c r="J12" s="171"/>
    </row>
    <row r="13" spans="1:13" s="25" customFormat="1" ht="15" customHeight="1" thickBot="1" x14ac:dyDescent="0.35">
      <c r="A13" s="76" t="s">
        <v>224</v>
      </c>
      <c r="B13" s="31" t="s">
        <v>223</v>
      </c>
      <c r="C13" s="169"/>
      <c r="D13" s="75"/>
      <c r="E13" s="74"/>
      <c r="F13" s="28"/>
      <c r="G13" s="27"/>
      <c r="H13" s="28"/>
      <c r="I13" s="27"/>
      <c r="J13" s="27"/>
    </row>
    <row r="14" spans="1:13" s="25" customFormat="1" ht="15" customHeight="1" x14ac:dyDescent="0.3">
      <c r="A14" s="76"/>
      <c r="B14" s="108" t="s">
        <v>222</v>
      </c>
      <c r="C14" s="169"/>
      <c r="D14" s="168"/>
      <c r="E14" s="167"/>
      <c r="F14" s="166" t="s">
        <v>221</v>
      </c>
      <c r="G14" s="166" t="s">
        <v>220</v>
      </c>
      <c r="H14" s="166" t="s">
        <v>219</v>
      </c>
      <c r="I14" s="166" t="s">
        <v>218</v>
      </c>
      <c r="J14" s="165"/>
      <c r="K14" s="164" t="s">
        <v>217</v>
      </c>
      <c r="L14" s="163" t="s">
        <v>216</v>
      </c>
      <c r="M14" s="162" t="s">
        <v>215</v>
      </c>
    </row>
    <row r="15" spans="1:13" s="45" customFormat="1" ht="15" customHeight="1" x14ac:dyDescent="0.3">
      <c r="A15" s="161" t="s">
        <v>214</v>
      </c>
      <c r="B15" s="62" t="s">
        <v>213</v>
      </c>
      <c r="C15" s="45" t="s">
        <v>212</v>
      </c>
      <c r="D15" s="157">
        <f>1*1</f>
        <v>1</v>
      </c>
      <c r="E15" s="156" t="s">
        <v>40</v>
      </c>
      <c r="F15" s="204" t="s">
        <v>211</v>
      </c>
      <c r="G15" s="205">
        <v>350</v>
      </c>
      <c r="H15" s="204"/>
      <c r="I15" s="205">
        <f>D15*G15</f>
        <v>350</v>
      </c>
      <c r="J15" s="215">
        <f>((H15/$G$8)+(I15))</f>
        <v>350</v>
      </c>
      <c r="K15" s="221" t="s">
        <v>210</v>
      </c>
      <c r="L15" s="212" t="s">
        <v>209</v>
      </c>
      <c r="M15" s="55"/>
    </row>
    <row r="16" spans="1:13" s="45" customFormat="1" ht="15" customHeight="1" x14ac:dyDescent="0.3">
      <c r="A16" s="161" t="s">
        <v>208</v>
      </c>
      <c r="B16" s="105" t="s">
        <v>207</v>
      </c>
      <c r="D16" s="157">
        <f>1*1</f>
        <v>1</v>
      </c>
      <c r="E16" s="156" t="s">
        <v>40</v>
      </c>
      <c r="F16" s="204"/>
      <c r="G16" s="205"/>
      <c r="H16" s="204"/>
      <c r="I16" s="205"/>
      <c r="J16" s="216"/>
      <c r="K16" s="221"/>
      <c r="L16" s="213"/>
      <c r="M16" s="55"/>
    </row>
    <row r="17" spans="1:13" s="45" customFormat="1" ht="15" customHeight="1" x14ac:dyDescent="0.3">
      <c r="A17" s="161" t="s">
        <v>206</v>
      </c>
      <c r="B17" s="105" t="s">
        <v>205</v>
      </c>
      <c r="D17" s="103">
        <v>0</v>
      </c>
      <c r="E17" s="156" t="s">
        <v>40</v>
      </c>
      <c r="F17" s="204"/>
      <c r="G17" s="205"/>
      <c r="H17" s="204"/>
      <c r="I17" s="205"/>
      <c r="J17" s="216"/>
      <c r="K17" s="221"/>
      <c r="L17" s="213"/>
      <c r="M17" s="55"/>
    </row>
    <row r="18" spans="1:13" s="45" customFormat="1" ht="15" customHeight="1" x14ac:dyDescent="0.3">
      <c r="A18" s="161" t="s">
        <v>204</v>
      </c>
      <c r="B18" s="105" t="s">
        <v>203</v>
      </c>
      <c r="D18" s="103">
        <v>0</v>
      </c>
      <c r="E18" s="156" t="s">
        <v>40</v>
      </c>
      <c r="F18" s="204"/>
      <c r="G18" s="205"/>
      <c r="H18" s="204"/>
      <c r="I18" s="205"/>
      <c r="J18" s="217"/>
      <c r="K18" s="221"/>
      <c r="L18" s="213"/>
      <c r="M18" s="55"/>
    </row>
    <row r="19" spans="1:13" s="45" customFormat="1" ht="15" customHeight="1" x14ac:dyDescent="0.3">
      <c r="A19" s="161" t="s">
        <v>202</v>
      </c>
      <c r="B19" s="142" t="s">
        <v>201</v>
      </c>
      <c r="C19" s="45" t="s">
        <v>200</v>
      </c>
      <c r="D19" s="157">
        <f>1*1</f>
        <v>1</v>
      </c>
      <c r="E19" s="156" t="s">
        <v>40</v>
      </c>
      <c r="F19" s="65">
        <v>195000</v>
      </c>
      <c r="G19" s="64"/>
      <c r="H19" s="65">
        <f>D19*F19</f>
        <v>195000</v>
      </c>
      <c r="I19" s="64"/>
      <c r="J19" s="63">
        <f>((H19/$G$8)+(I19))</f>
        <v>12.580645161290322</v>
      </c>
      <c r="K19" s="221"/>
      <c r="L19" s="213"/>
      <c r="M19" s="55"/>
    </row>
    <row r="20" spans="1:13" s="45" customFormat="1" ht="15" customHeight="1" x14ac:dyDescent="0.35">
      <c r="A20" s="46"/>
      <c r="B20" s="104"/>
      <c r="D20" s="157"/>
      <c r="E20" s="156"/>
      <c r="F20" s="160"/>
      <c r="G20" s="159"/>
      <c r="H20" s="218"/>
      <c r="I20" s="159"/>
      <c r="J20" s="215">
        <f>((H20/$G$8)+(I20))</f>
        <v>0</v>
      </c>
      <c r="K20" s="221"/>
      <c r="L20" s="213"/>
      <c r="M20" s="55"/>
    </row>
    <row r="21" spans="1:13" s="45" customFormat="1" ht="15" customHeight="1" x14ac:dyDescent="0.3">
      <c r="A21" s="46"/>
      <c r="B21" s="108" t="s">
        <v>199</v>
      </c>
      <c r="D21" s="157"/>
      <c r="E21" s="156"/>
      <c r="F21" s="160"/>
      <c r="G21" s="159"/>
      <c r="H21" s="219"/>
      <c r="I21" s="159"/>
      <c r="J21" s="216"/>
      <c r="K21" s="221"/>
      <c r="L21" s="213"/>
      <c r="M21" s="55"/>
    </row>
    <row r="22" spans="1:13" s="45" customFormat="1" ht="15" customHeight="1" x14ac:dyDescent="0.35">
      <c r="A22" s="161" t="s">
        <v>198</v>
      </c>
      <c r="B22" s="104" t="s">
        <v>197</v>
      </c>
      <c r="C22" s="45" t="s">
        <v>240</v>
      </c>
      <c r="D22" s="157">
        <f>1*1</f>
        <v>1</v>
      </c>
      <c r="E22" s="156" t="s">
        <v>91</v>
      </c>
      <c r="F22" s="160"/>
      <c r="G22" s="159"/>
      <c r="H22" s="219"/>
      <c r="I22" s="159"/>
      <c r="J22" s="216"/>
      <c r="K22" s="221"/>
      <c r="L22" s="213"/>
      <c r="M22" s="55"/>
    </row>
    <row r="23" spans="1:13" s="45" customFormat="1" ht="15" x14ac:dyDescent="0.35">
      <c r="A23" s="46" t="s">
        <v>196</v>
      </c>
      <c r="B23" s="94" t="s">
        <v>195</v>
      </c>
      <c r="C23" s="158" t="s">
        <v>238</v>
      </c>
      <c r="D23" s="157">
        <f>1*1</f>
        <v>1</v>
      </c>
      <c r="E23" s="156" t="s">
        <v>91</v>
      </c>
      <c r="F23" s="113"/>
      <c r="G23" s="112"/>
      <c r="H23" s="220"/>
      <c r="I23" s="112"/>
      <c r="J23" s="217"/>
      <c r="K23" s="221"/>
      <c r="L23" s="214"/>
      <c r="M23" s="55"/>
    </row>
    <row r="24" spans="1:13" s="45" customFormat="1" ht="15" customHeight="1" x14ac:dyDescent="0.35">
      <c r="A24" s="46" t="s">
        <v>194</v>
      </c>
      <c r="B24" s="97" t="s">
        <v>193</v>
      </c>
      <c r="C24" s="155" t="s">
        <v>192</v>
      </c>
      <c r="D24" s="100">
        <v>40</v>
      </c>
      <c r="E24" s="139" t="s">
        <v>70</v>
      </c>
      <c r="F24" s="65">
        <f>801960/300</f>
        <v>2673.2</v>
      </c>
      <c r="G24" s="64"/>
      <c r="H24" s="65">
        <f t="shared" ref="H24:H36" si="0">D24*F24</f>
        <v>106928</v>
      </c>
      <c r="I24" s="64">
        <f t="shared" ref="I24:I30" si="1">D24*G24</f>
        <v>0</v>
      </c>
      <c r="J24" s="63">
        <f>((H24/$G$8)+(I24))</f>
        <v>6.8985806451612905</v>
      </c>
      <c r="K24" s="56" t="s">
        <v>191</v>
      </c>
      <c r="L24" s="56" t="s">
        <v>190</v>
      </c>
      <c r="M24" s="56" t="s">
        <v>189</v>
      </c>
    </row>
    <row r="25" spans="1:13" s="45" customFormat="1" ht="15" customHeight="1" x14ac:dyDescent="0.3">
      <c r="A25" s="46" t="s">
        <v>188</v>
      </c>
      <c r="B25" s="110" t="s">
        <v>187</v>
      </c>
      <c r="C25" s="119" t="s">
        <v>186</v>
      </c>
      <c r="D25" s="100">
        <v>2</v>
      </c>
      <c r="E25" s="139" t="s">
        <v>52</v>
      </c>
      <c r="F25" s="65">
        <f>290000/50</f>
        <v>5800</v>
      </c>
      <c r="G25" s="64"/>
      <c r="H25" s="65">
        <f t="shared" si="0"/>
        <v>11600</v>
      </c>
      <c r="I25" s="64">
        <f t="shared" si="1"/>
        <v>0</v>
      </c>
      <c r="J25" s="63">
        <f>((H25/$G$8)+(I25))</f>
        <v>0.74838709677419357</v>
      </c>
      <c r="K25" s="56" t="s">
        <v>131</v>
      </c>
      <c r="L25" s="56" t="s">
        <v>130</v>
      </c>
      <c r="M25" s="56" t="s">
        <v>129</v>
      </c>
    </row>
    <row r="26" spans="1:13" s="45" customFormat="1" ht="15" customHeight="1" x14ac:dyDescent="0.35">
      <c r="B26" s="105"/>
      <c r="C26" s="104"/>
      <c r="D26" s="100"/>
      <c r="E26" s="99"/>
      <c r="F26" s="65"/>
      <c r="G26" s="64"/>
      <c r="H26" s="65">
        <f t="shared" si="0"/>
        <v>0</v>
      </c>
      <c r="I26" s="64">
        <f t="shared" si="1"/>
        <v>0</v>
      </c>
      <c r="J26" s="63"/>
      <c r="K26" s="56"/>
      <c r="L26" s="56"/>
      <c r="M26" s="55"/>
    </row>
    <row r="27" spans="1:13" s="45" customFormat="1" ht="15" customHeight="1" x14ac:dyDescent="0.3">
      <c r="B27" s="108" t="s">
        <v>185</v>
      </c>
      <c r="D27" s="154"/>
      <c r="E27" s="153"/>
      <c r="F27" s="65"/>
      <c r="G27" s="64"/>
      <c r="H27" s="65">
        <f t="shared" si="0"/>
        <v>0</v>
      </c>
      <c r="I27" s="64">
        <f t="shared" si="1"/>
        <v>0</v>
      </c>
      <c r="J27" s="63">
        <f>((H27/$G$8)+(I27))</f>
        <v>0</v>
      </c>
      <c r="K27" s="56"/>
      <c r="L27" s="56"/>
      <c r="M27" s="55"/>
    </row>
    <row r="28" spans="1:13" s="45" customFormat="1" ht="15" customHeight="1" x14ac:dyDescent="0.35">
      <c r="A28" s="46" t="s">
        <v>184</v>
      </c>
      <c r="B28" s="151" t="s">
        <v>183</v>
      </c>
      <c r="C28" s="150" t="s">
        <v>182</v>
      </c>
      <c r="D28" s="149">
        <v>0</v>
      </c>
      <c r="E28" s="139" t="s">
        <v>52</v>
      </c>
      <c r="F28" s="65">
        <v>15000</v>
      </c>
      <c r="G28" s="64"/>
      <c r="H28" s="65">
        <f t="shared" si="0"/>
        <v>0</v>
      </c>
      <c r="I28" s="64">
        <f t="shared" si="1"/>
        <v>0</v>
      </c>
      <c r="J28" s="63">
        <f>((H28/$G$8)+(I28))</f>
        <v>0</v>
      </c>
      <c r="K28" s="56" t="s">
        <v>51</v>
      </c>
      <c r="L28" s="56" t="s">
        <v>50</v>
      </c>
      <c r="M28" s="56" t="s">
        <v>78</v>
      </c>
    </row>
    <row r="29" spans="1:13" s="45" customFormat="1" ht="15" customHeight="1" x14ac:dyDescent="0.35">
      <c r="A29" s="46" t="s">
        <v>181</v>
      </c>
      <c r="B29" s="152" t="s">
        <v>180</v>
      </c>
      <c r="C29" s="150" t="s">
        <v>177</v>
      </c>
      <c r="D29" s="149">
        <f>60+3</f>
        <v>63</v>
      </c>
      <c r="E29" s="139" t="s">
        <v>70</v>
      </c>
      <c r="F29" s="65">
        <f>396000/300</f>
        <v>1320</v>
      </c>
      <c r="G29" s="64"/>
      <c r="H29" s="65">
        <f t="shared" si="0"/>
        <v>83160</v>
      </c>
      <c r="I29" s="64">
        <f t="shared" si="1"/>
        <v>0</v>
      </c>
      <c r="J29" s="63">
        <f>((H29/$G$8)+(I29))</f>
        <v>5.3651612903225807</v>
      </c>
      <c r="K29" s="56" t="s">
        <v>111</v>
      </c>
      <c r="L29" s="56" t="s">
        <v>110</v>
      </c>
      <c r="M29" s="56" t="s">
        <v>109</v>
      </c>
    </row>
    <row r="30" spans="1:13" s="45" customFormat="1" ht="15" customHeight="1" x14ac:dyDescent="0.35">
      <c r="A30" s="46" t="s">
        <v>179</v>
      </c>
      <c r="B30" s="151" t="s">
        <v>178</v>
      </c>
      <c r="C30" s="150" t="s">
        <v>177</v>
      </c>
      <c r="D30" s="149">
        <v>12</v>
      </c>
      <c r="E30" s="148" t="s">
        <v>52</v>
      </c>
      <c r="F30" s="65">
        <f>141000/50</f>
        <v>2820</v>
      </c>
      <c r="G30" s="64"/>
      <c r="H30" s="65">
        <f t="shared" si="0"/>
        <v>33840</v>
      </c>
      <c r="I30" s="64">
        <f t="shared" si="1"/>
        <v>0</v>
      </c>
      <c r="J30" s="63">
        <f>((H30/$G$8)+(I30))</f>
        <v>2.1832258064516128</v>
      </c>
      <c r="K30" s="56" t="s">
        <v>61</v>
      </c>
      <c r="L30" s="56" t="s">
        <v>60</v>
      </c>
      <c r="M30" s="56" t="s">
        <v>96</v>
      </c>
    </row>
    <row r="31" spans="1:13" s="45" customFormat="1" ht="15" customHeight="1" x14ac:dyDescent="0.35">
      <c r="B31" s="105"/>
      <c r="C31" s="104"/>
      <c r="D31" s="100"/>
      <c r="E31" s="139"/>
      <c r="F31" s="65"/>
      <c r="G31" s="64"/>
      <c r="H31" s="65">
        <f t="shared" si="0"/>
        <v>0</v>
      </c>
      <c r="I31" s="64"/>
      <c r="J31" s="63"/>
      <c r="K31" s="56"/>
      <c r="L31" s="56"/>
      <c r="M31" s="55"/>
    </row>
    <row r="32" spans="1:13" s="45" customFormat="1" ht="15" customHeight="1" x14ac:dyDescent="0.3">
      <c r="B32" s="108" t="s">
        <v>14</v>
      </c>
      <c r="D32" s="67"/>
      <c r="E32" s="147"/>
      <c r="F32" s="65"/>
      <c r="G32" s="64"/>
      <c r="H32" s="65">
        <f t="shared" si="0"/>
        <v>0</v>
      </c>
      <c r="I32" s="64">
        <f>D32*G32</f>
        <v>0</v>
      </c>
      <c r="J32" s="63">
        <f>((H32/$G$8)+(I32))</f>
        <v>0</v>
      </c>
      <c r="K32" s="56"/>
      <c r="L32" s="56"/>
      <c r="M32" s="55"/>
    </row>
    <row r="33" spans="1:13" s="45" customFormat="1" ht="15" customHeight="1" x14ac:dyDescent="0.3">
      <c r="A33" s="46" t="s">
        <v>176</v>
      </c>
      <c r="B33" s="105" t="s">
        <v>175</v>
      </c>
      <c r="C33" s="45" t="s">
        <v>174</v>
      </c>
      <c r="D33" s="100">
        <v>1</v>
      </c>
      <c r="E33" s="136" t="s">
        <v>91</v>
      </c>
      <c r="F33" s="65">
        <v>1600000</v>
      </c>
      <c r="G33" s="89"/>
      <c r="H33" s="65">
        <f t="shared" si="0"/>
        <v>1600000</v>
      </c>
      <c r="I33" s="64">
        <f>D33*G33</f>
        <v>0</v>
      </c>
      <c r="J33" s="63">
        <f>((H33/$G$8)+(I33))</f>
        <v>103.2258064516129</v>
      </c>
      <c r="K33" s="222" t="s">
        <v>173</v>
      </c>
      <c r="L33" s="212" t="s">
        <v>172</v>
      </c>
      <c r="M33" s="212" t="s">
        <v>171</v>
      </c>
    </row>
    <row r="34" spans="1:13" s="45" customFormat="1" ht="15" customHeight="1" x14ac:dyDescent="0.3">
      <c r="A34" s="46" t="s">
        <v>170</v>
      </c>
      <c r="B34" s="118" t="s">
        <v>169</v>
      </c>
      <c r="C34" s="80" t="s">
        <v>239</v>
      </c>
      <c r="D34" s="67">
        <v>2</v>
      </c>
      <c r="E34" s="136" t="s">
        <v>91</v>
      </c>
      <c r="F34" s="65">
        <v>1350000</v>
      </c>
      <c r="G34" s="89"/>
      <c r="H34" s="65">
        <f t="shared" si="0"/>
        <v>2700000</v>
      </c>
      <c r="I34" s="64">
        <f>D34*G34</f>
        <v>0</v>
      </c>
      <c r="J34" s="63">
        <f>((H34/$G$8)+(I34))</f>
        <v>174.19354838709677</v>
      </c>
      <c r="K34" s="222"/>
      <c r="L34" s="214"/>
      <c r="M34" s="214"/>
    </row>
    <row r="35" spans="1:13" s="45" customFormat="1" ht="15" customHeight="1" x14ac:dyDescent="0.3">
      <c r="A35" s="46" t="s">
        <v>168</v>
      </c>
      <c r="B35" s="118" t="s">
        <v>167</v>
      </c>
      <c r="C35" s="80" t="s">
        <v>166</v>
      </c>
      <c r="D35" s="137">
        <v>0</v>
      </c>
      <c r="E35" s="146" t="s">
        <v>52</v>
      </c>
      <c r="F35" s="145">
        <v>340000</v>
      </c>
      <c r="G35" s="144"/>
      <c r="H35" s="143">
        <f t="shared" si="0"/>
        <v>0</v>
      </c>
      <c r="I35" s="89">
        <f>D35*G35</f>
        <v>0</v>
      </c>
      <c r="J35" s="88">
        <f>((H35/$G$8)+(I35))</f>
        <v>0</v>
      </c>
      <c r="K35" s="56"/>
      <c r="L35" s="56"/>
      <c r="M35" s="55"/>
    </row>
    <row r="36" spans="1:13" s="45" customFormat="1" ht="15" x14ac:dyDescent="0.3">
      <c r="A36" s="46" t="s">
        <v>165</v>
      </c>
      <c r="B36" s="138" t="s">
        <v>164</v>
      </c>
      <c r="C36" s="138" t="s">
        <v>163</v>
      </c>
      <c r="D36" s="140">
        <v>0</v>
      </c>
      <c r="E36" s="136" t="s">
        <v>91</v>
      </c>
      <c r="F36" s="90">
        <v>80000</v>
      </c>
      <c r="G36" s="89"/>
      <c r="H36" s="65">
        <f t="shared" si="0"/>
        <v>0</v>
      </c>
      <c r="I36" s="89">
        <f>D36*G36</f>
        <v>0</v>
      </c>
      <c r="J36" s="88"/>
      <c r="K36" s="56"/>
      <c r="L36" s="56"/>
      <c r="M36" s="55"/>
    </row>
    <row r="37" spans="1:13" s="45" customFormat="1" ht="15" customHeight="1" x14ac:dyDescent="0.3">
      <c r="A37" s="46"/>
      <c r="B37" s="105"/>
      <c r="D37" s="140"/>
      <c r="E37" s="136"/>
      <c r="F37" s="90"/>
      <c r="G37" s="89"/>
      <c r="H37" s="90"/>
      <c r="I37" s="89"/>
      <c r="J37" s="88"/>
      <c r="K37" s="56"/>
      <c r="L37" s="56"/>
      <c r="M37" s="55"/>
    </row>
    <row r="38" spans="1:13" s="45" customFormat="1" ht="15" customHeight="1" thickBot="1" x14ac:dyDescent="0.35">
      <c r="A38" s="46"/>
      <c r="B38" s="135"/>
      <c r="D38" s="61"/>
      <c r="E38" s="134"/>
      <c r="F38" s="59"/>
      <c r="G38" s="58"/>
      <c r="H38" s="59"/>
      <c r="I38" s="58"/>
      <c r="J38" s="57"/>
      <c r="K38" s="56"/>
      <c r="L38" s="56"/>
      <c r="M38" s="55"/>
    </row>
    <row r="39" spans="1:13" s="25" customFormat="1" ht="15" customHeight="1" thickBot="1" x14ac:dyDescent="0.35">
      <c r="A39" s="26"/>
      <c r="B39" s="43" t="s">
        <v>162</v>
      </c>
      <c r="C39" s="42"/>
      <c r="D39" s="133"/>
      <c r="E39" s="132"/>
      <c r="F39" s="130">
        <f>SUM(F15:F38)</f>
        <v>3592613.2</v>
      </c>
      <c r="G39" s="131">
        <f>SUM(G15:G38)</f>
        <v>350</v>
      </c>
      <c r="H39" s="130">
        <f>SUM(H15:H38)</f>
        <v>4730528</v>
      </c>
      <c r="I39" s="131">
        <f>SUM(I15:I38)</f>
        <v>350</v>
      </c>
      <c r="J39" s="129">
        <f>((H39/$G$8)+(I39))</f>
        <v>655.1953548387097</v>
      </c>
      <c r="K39" s="122"/>
      <c r="L39" s="122"/>
      <c r="M39" s="121"/>
    </row>
    <row r="40" spans="1:13" s="25" customFormat="1" ht="5.0999999999999996" customHeight="1" x14ac:dyDescent="0.3">
      <c r="D40" s="122"/>
      <c r="E40" s="127"/>
      <c r="F40" s="124"/>
      <c r="G40" s="123"/>
      <c r="H40" s="124"/>
      <c r="I40" s="123"/>
      <c r="J40" s="123"/>
      <c r="K40" s="122"/>
      <c r="L40" s="122"/>
      <c r="M40" s="121"/>
    </row>
    <row r="41" spans="1:13" s="25" customFormat="1" ht="5.0999999999999996" customHeight="1" x14ac:dyDescent="0.3">
      <c r="D41" s="122"/>
      <c r="E41" s="127"/>
      <c r="F41" s="124"/>
      <c r="G41" s="123"/>
      <c r="H41" s="124"/>
      <c r="I41" s="123"/>
      <c r="J41" s="123"/>
      <c r="K41" s="122"/>
      <c r="L41" s="122"/>
      <c r="M41" s="121"/>
    </row>
    <row r="42" spans="1:13" s="25" customFormat="1" ht="15" customHeight="1" x14ac:dyDescent="0.3">
      <c r="A42" s="82" t="s">
        <v>161</v>
      </c>
      <c r="B42" s="31" t="s">
        <v>160</v>
      </c>
      <c r="D42" s="126"/>
      <c r="E42" s="125"/>
      <c r="F42" s="124"/>
      <c r="G42" s="123"/>
      <c r="H42" s="124"/>
      <c r="I42" s="123"/>
      <c r="J42" s="123"/>
      <c r="K42" s="122"/>
      <c r="L42" s="122"/>
      <c r="M42" s="121"/>
    </row>
    <row r="43" spans="1:13" s="25" customFormat="1" ht="15" customHeight="1" x14ac:dyDescent="0.3">
      <c r="A43" s="82"/>
      <c r="B43" s="31" t="s">
        <v>159</v>
      </c>
      <c r="D43" s="100"/>
      <c r="E43" s="139"/>
      <c r="F43" s="65"/>
      <c r="G43" s="64"/>
      <c r="H43" s="65"/>
      <c r="I43" s="64"/>
      <c r="J43" s="63"/>
      <c r="K43" s="35"/>
      <c r="L43" s="35"/>
      <c r="M43" s="34"/>
    </row>
    <row r="44" spans="1:13" s="45" customFormat="1" ht="15" customHeight="1" x14ac:dyDescent="0.3">
      <c r="A44" s="46" t="s">
        <v>158</v>
      </c>
      <c r="B44" s="105" t="s">
        <v>157</v>
      </c>
      <c r="C44" s="105" t="s">
        <v>156</v>
      </c>
      <c r="D44" s="100">
        <v>1</v>
      </c>
      <c r="E44" s="139" t="s">
        <v>91</v>
      </c>
      <c r="F44" s="65">
        <v>924000</v>
      </c>
      <c r="G44" s="64"/>
      <c r="H44" s="65">
        <f t="shared" ref="H44:H54" si="2">D44*F44</f>
        <v>924000</v>
      </c>
      <c r="I44" s="64">
        <f>D44*G44</f>
        <v>0</v>
      </c>
      <c r="J44" s="63">
        <f>((H44/$G$8)+(I44))</f>
        <v>59.612903225806448</v>
      </c>
      <c r="K44" s="56" t="s">
        <v>155</v>
      </c>
      <c r="L44" s="56" t="s">
        <v>154</v>
      </c>
      <c r="M44" s="56" t="s">
        <v>153</v>
      </c>
    </row>
    <row r="45" spans="1:13" s="45" customFormat="1" ht="30" customHeight="1" x14ac:dyDescent="0.3">
      <c r="A45" s="46" t="s">
        <v>152</v>
      </c>
      <c r="B45" s="142" t="s">
        <v>151</v>
      </c>
      <c r="C45" s="105" t="s">
        <v>150</v>
      </c>
      <c r="D45" s="100">
        <v>1</v>
      </c>
      <c r="E45" s="139" t="s">
        <v>40</v>
      </c>
      <c r="F45" s="65">
        <v>450000</v>
      </c>
      <c r="G45" s="64"/>
      <c r="H45" s="65">
        <f t="shared" si="2"/>
        <v>450000</v>
      </c>
      <c r="I45" s="64">
        <f>D45*G45</f>
        <v>0</v>
      </c>
      <c r="J45" s="63">
        <f>((H45/$G$8)+(I45))</f>
        <v>29.032258064516128</v>
      </c>
      <c r="K45" s="56"/>
      <c r="L45" s="56"/>
      <c r="M45" s="55"/>
    </row>
    <row r="46" spans="1:13" s="45" customFormat="1" ht="15" customHeight="1" x14ac:dyDescent="0.3">
      <c r="A46" s="46"/>
      <c r="B46" s="105"/>
      <c r="C46" s="105"/>
      <c r="D46" s="100"/>
      <c r="E46" s="139"/>
      <c r="F46" s="65"/>
      <c r="G46" s="64"/>
      <c r="H46" s="65">
        <f t="shared" si="2"/>
        <v>0</v>
      </c>
      <c r="I46" s="64"/>
      <c r="J46" s="63"/>
      <c r="K46" s="56"/>
      <c r="L46" s="56"/>
      <c r="M46" s="55"/>
    </row>
    <row r="47" spans="1:13" s="45" customFormat="1" ht="15" customHeight="1" x14ac:dyDescent="0.3">
      <c r="B47" s="108" t="s">
        <v>149</v>
      </c>
      <c r="C47" s="105"/>
      <c r="D47" s="100"/>
      <c r="E47" s="139"/>
      <c r="F47" s="65"/>
      <c r="G47" s="64"/>
      <c r="H47" s="65">
        <f t="shared" si="2"/>
        <v>0</v>
      </c>
      <c r="I47" s="64"/>
      <c r="J47" s="63"/>
      <c r="K47" s="56"/>
      <c r="L47" s="56"/>
      <c r="M47" s="55"/>
    </row>
    <row r="48" spans="1:13" s="45" customFormat="1" ht="15" customHeight="1" x14ac:dyDescent="0.3">
      <c r="A48" s="46" t="s">
        <v>148</v>
      </c>
      <c r="B48" s="97" t="s">
        <v>147</v>
      </c>
      <c r="C48" s="94" t="s">
        <v>146</v>
      </c>
      <c r="D48" s="100">
        <v>15</v>
      </c>
      <c r="E48" s="139" t="s">
        <v>70</v>
      </c>
      <c r="F48" s="65">
        <v>10900</v>
      </c>
      <c r="G48" s="64"/>
      <c r="H48" s="65">
        <f t="shared" si="2"/>
        <v>163500</v>
      </c>
      <c r="I48" s="64">
        <f>D48*G48</f>
        <v>0</v>
      </c>
      <c r="J48" s="63">
        <f>((H48/$G$8)+(I48))</f>
        <v>10.548387096774194</v>
      </c>
      <c r="K48" s="56" t="s">
        <v>111</v>
      </c>
      <c r="L48" s="56" t="s">
        <v>110</v>
      </c>
      <c r="M48" s="56" t="s">
        <v>109</v>
      </c>
    </row>
    <row r="49" spans="1:13" s="45" customFormat="1" ht="15" customHeight="1" x14ac:dyDescent="0.3">
      <c r="A49" s="46" t="s">
        <v>145</v>
      </c>
      <c r="B49" s="110" t="s">
        <v>144</v>
      </c>
      <c r="C49" s="138" t="s">
        <v>143</v>
      </c>
      <c r="D49" s="140">
        <v>1</v>
      </c>
      <c r="E49" s="136" t="s">
        <v>52</v>
      </c>
      <c r="F49" s="90">
        <v>10500</v>
      </c>
      <c r="G49" s="89"/>
      <c r="H49" s="65">
        <f t="shared" si="2"/>
        <v>10500</v>
      </c>
      <c r="I49" s="64">
        <f>D49*G49</f>
        <v>0</v>
      </c>
      <c r="J49" s="63">
        <f>((H49/$G$8)+(I49))</f>
        <v>0.67741935483870963</v>
      </c>
      <c r="K49" s="212" t="s">
        <v>51</v>
      </c>
      <c r="L49" s="212" t="s">
        <v>50</v>
      </c>
      <c r="M49" s="212" t="s">
        <v>78</v>
      </c>
    </row>
    <row r="50" spans="1:13" s="45" customFormat="1" ht="15" customHeight="1" x14ac:dyDescent="0.3">
      <c r="A50" s="46" t="s">
        <v>142</v>
      </c>
      <c r="B50" s="97" t="s">
        <v>139</v>
      </c>
      <c r="C50" s="94" t="s">
        <v>141</v>
      </c>
      <c r="D50" s="140">
        <v>1</v>
      </c>
      <c r="E50" s="139" t="s">
        <v>52</v>
      </c>
      <c r="F50" s="65">
        <v>6800</v>
      </c>
      <c r="G50" s="64"/>
      <c r="H50" s="65">
        <f t="shared" si="2"/>
        <v>6800</v>
      </c>
      <c r="I50" s="64"/>
      <c r="J50" s="63"/>
      <c r="K50" s="214"/>
      <c r="L50" s="214"/>
      <c r="M50" s="214"/>
    </row>
    <row r="51" spans="1:13" s="45" customFormat="1" ht="15" customHeight="1" x14ac:dyDescent="0.3">
      <c r="A51" s="46" t="s">
        <v>140</v>
      </c>
      <c r="B51" s="94" t="s">
        <v>139</v>
      </c>
      <c r="C51" s="94" t="s">
        <v>138</v>
      </c>
      <c r="D51" s="140">
        <v>0</v>
      </c>
      <c r="E51" s="139" t="s">
        <v>52</v>
      </c>
      <c r="F51" s="65">
        <v>41000</v>
      </c>
      <c r="G51" s="64"/>
      <c r="H51" s="65">
        <f t="shared" si="2"/>
        <v>0</v>
      </c>
      <c r="I51" s="64"/>
      <c r="J51" s="63"/>
      <c r="K51" s="56"/>
      <c r="L51" s="56"/>
      <c r="M51" s="55"/>
    </row>
    <row r="52" spans="1:13" s="45" customFormat="1" ht="31.2" customHeight="1" x14ac:dyDescent="0.3">
      <c r="A52" s="46" t="s">
        <v>137</v>
      </c>
      <c r="B52" s="141" t="s">
        <v>136</v>
      </c>
      <c r="C52" s="94" t="s">
        <v>135</v>
      </c>
      <c r="D52" s="140">
        <v>1</v>
      </c>
      <c r="E52" s="139" t="s">
        <v>52</v>
      </c>
      <c r="F52" s="65">
        <v>120000</v>
      </c>
      <c r="G52" s="64"/>
      <c r="H52" s="65">
        <f t="shared" si="2"/>
        <v>120000</v>
      </c>
      <c r="I52" s="64">
        <f>D52*G52</f>
        <v>0</v>
      </c>
      <c r="J52" s="63">
        <f>((H52/$G$8)+(I52))</f>
        <v>7.741935483870968</v>
      </c>
      <c r="K52" s="56" t="s">
        <v>61</v>
      </c>
      <c r="L52" s="56" t="s">
        <v>60</v>
      </c>
      <c r="M52" s="56" t="s">
        <v>96</v>
      </c>
    </row>
    <row r="53" spans="1:13" s="45" customFormat="1" ht="15" customHeight="1" x14ac:dyDescent="0.3">
      <c r="A53" s="46" t="s">
        <v>134</v>
      </c>
      <c r="B53" s="97" t="s">
        <v>133</v>
      </c>
      <c r="C53" s="138" t="s">
        <v>132</v>
      </c>
      <c r="D53" s="137">
        <v>13</v>
      </c>
      <c r="E53" s="136" t="s">
        <v>52</v>
      </c>
      <c r="F53" s="90">
        <f>40000/100</f>
        <v>400</v>
      </c>
      <c r="G53" s="89"/>
      <c r="H53" s="65">
        <f t="shared" si="2"/>
        <v>5200</v>
      </c>
      <c r="I53" s="64">
        <f>D53*G53</f>
        <v>0</v>
      </c>
      <c r="J53" s="88">
        <f>((H53/$G$8)+(I53))</f>
        <v>0.33548387096774196</v>
      </c>
      <c r="K53" s="56" t="s">
        <v>131</v>
      </c>
      <c r="L53" s="56" t="s">
        <v>130</v>
      </c>
      <c r="M53" s="56" t="s">
        <v>129</v>
      </c>
    </row>
    <row r="54" spans="1:13" s="45" customFormat="1" ht="15" customHeight="1" x14ac:dyDescent="0.3">
      <c r="A54" s="46" t="s">
        <v>128</v>
      </c>
      <c r="B54" s="94" t="s">
        <v>127</v>
      </c>
      <c r="C54" s="138" t="s">
        <v>126</v>
      </c>
      <c r="D54" s="137">
        <v>0</v>
      </c>
      <c r="E54" s="136" t="s">
        <v>52</v>
      </c>
      <c r="F54" s="90">
        <v>790</v>
      </c>
      <c r="G54" s="89"/>
      <c r="H54" s="65">
        <f t="shared" si="2"/>
        <v>0</v>
      </c>
      <c r="I54" s="64">
        <f>D54*G54</f>
        <v>0</v>
      </c>
      <c r="J54" s="88">
        <f>((H54/$G$8)+(I54))</f>
        <v>0</v>
      </c>
      <c r="K54" s="56" t="s">
        <v>61</v>
      </c>
      <c r="L54" s="56" t="s">
        <v>60</v>
      </c>
      <c r="M54" s="56" t="s">
        <v>96</v>
      </c>
    </row>
    <row r="55" spans="1:13" s="45" customFormat="1" ht="15" customHeight="1" thickBot="1" x14ac:dyDescent="0.35">
      <c r="A55" s="46"/>
      <c r="B55" s="135"/>
      <c r="C55" s="62"/>
      <c r="D55" s="61"/>
      <c r="E55" s="134"/>
      <c r="F55" s="59"/>
      <c r="G55" s="58"/>
      <c r="H55" s="59"/>
      <c r="I55" s="58"/>
      <c r="J55" s="57"/>
      <c r="K55" s="56"/>
      <c r="L55" s="56"/>
      <c r="M55" s="55"/>
    </row>
    <row r="56" spans="1:13" s="25" customFormat="1" ht="15" customHeight="1" thickBot="1" x14ac:dyDescent="0.35">
      <c r="A56" s="26"/>
      <c r="B56" s="43" t="s">
        <v>125</v>
      </c>
      <c r="C56" s="42"/>
      <c r="D56" s="133"/>
      <c r="E56" s="132"/>
      <c r="F56" s="130">
        <f>SUM(F44:F55)</f>
        <v>1564390</v>
      </c>
      <c r="G56" s="131">
        <f>SUM(G44:G55)</f>
        <v>0</v>
      </c>
      <c r="H56" s="130">
        <f>SUM(H44:H55)</f>
        <v>1680000</v>
      </c>
      <c r="I56" s="129">
        <f>SUM(I44:I55)</f>
        <v>0</v>
      </c>
      <c r="J56" s="128">
        <f>((H56/$G$8)+(I56))</f>
        <v>108.38709677419355</v>
      </c>
      <c r="K56" s="122"/>
      <c r="L56" s="122"/>
      <c r="M56" s="121"/>
    </row>
    <row r="57" spans="1:13" s="25" customFormat="1" ht="5.0999999999999996" customHeight="1" x14ac:dyDescent="0.3">
      <c r="D57" s="122"/>
      <c r="E57" s="127"/>
      <c r="F57" s="124"/>
      <c r="G57" s="123"/>
      <c r="H57" s="124"/>
      <c r="I57" s="123"/>
      <c r="J57" s="123"/>
      <c r="K57" s="122"/>
      <c r="L57" s="122"/>
      <c r="M57" s="121"/>
    </row>
    <row r="58" spans="1:13" s="25" customFormat="1" ht="5.0999999999999996" customHeight="1" x14ac:dyDescent="0.3">
      <c r="D58" s="122"/>
      <c r="E58" s="127"/>
      <c r="F58" s="124"/>
      <c r="G58" s="123"/>
      <c r="H58" s="124"/>
      <c r="I58" s="123"/>
      <c r="J58" s="123"/>
      <c r="K58" s="122"/>
      <c r="L58" s="122"/>
      <c r="M58" s="121"/>
    </row>
    <row r="59" spans="1:13" s="25" customFormat="1" ht="15" customHeight="1" thickBot="1" x14ac:dyDescent="0.35">
      <c r="A59" s="82" t="s">
        <v>124</v>
      </c>
      <c r="B59" s="208" t="s">
        <v>123</v>
      </c>
      <c r="C59" s="208"/>
      <c r="D59" s="126"/>
      <c r="E59" s="125"/>
      <c r="F59" s="124"/>
      <c r="G59" s="123"/>
      <c r="H59" s="124"/>
      <c r="I59" s="123"/>
      <c r="J59" s="123"/>
      <c r="K59" s="122"/>
      <c r="L59" s="122"/>
      <c r="M59" s="121"/>
    </row>
    <row r="60" spans="1:13" s="45" customFormat="1" ht="15" customHeight="1" x14ac:dyDescent="0.3">
      <c r="A60" s="46"/>
      <c r="B60" s="108" t="s">
        <v>122</v>
      </c>
      <c r="C60" s="62"/>
      <c r="D60" s="72"/>
      <c r="E60" s="71"/>
      <c r="F60" s="70"/>
      <c r="G60" s="69"/>
      <c r="H60" s="70"/>
      <c r="I60" s="69"/>
      <c r="J60" s="120"/>
      <c r="K60" s="56"/>
      <c r="L60" s="56"/>
      <c r="M60" s="55"/>
    </row>
    <row r="61" spans="1:13" s="45" customFormat="1" ht="29.55" customHeight="1" x14ac:dyDescent="0.3">
      <c r="A61" s="46" t="s">
        <v>121</v>
      </c>
      <c r="B61" s="94" t="s">
        <v>120</v>
      </c>
      <c r="C61" s="119" t="s">
        <v>119</v>
      </c>
      <c r="D61" s="100">
        <v>0</v>
      </c>
      <c r="E61" s="114" t="s">
        <v>10</v>
      </c>
      <c r="F61" s="90">
        <v>195000</v>
      </c>
      <c r="G61" s="89"/>
      <c r="H61" s="90">
        <f>D61*F61</f>
        <v>0</v>
      </c>
      <c r="I61" s="89">
        <f>D61*G61</f>
        <v>0</v>
      </c>
      <c r="J61" s="88">
        <f>((H61/$G$8)+(I61))</f>
        <v>0</v>
      </c>
      <c r="K61" s="56"/>
      <c r="L61" s="56"/>
      <c r="M61" s="55"/>
    </row>
    <row r="62" spans="1:13" s="45" customFormat="1" ht="15" customHeight="1" x14ac:dyDescent="0.3">
      <c r="A62" s="46" t="s">
        <v>118</v>
      </c>
      <c r="B62" s="118" t="s">
        <v>117</v>
      </c>
      <c r="C62" s="117" t="s">
        <v>116</v>
      </c>
      <c r="D62" s="100">
        <v>0</v>
      </c>
      <c r="E62" s="114" t="s">
        <v>10</v>
      </c>
      <c r="F62" s="65"/>
      <c r="G62" s="64"/>
      <c r="H62" s="65"/>
      <c r="I62" s="64">
        <f>D62*G62</f>
        <v>0</v>
      </c>
      <c r="J62" s="63">
        <f>((H62/$G$8)+(I62))</f>
        <v>0</v>
      </c>
      <c r="K62" s="56"/>
      <c r="L62" s="56"/>
      <c r="M62" s="55"/>
    </row>
    <row r="63" spans="1:13" s="45" customFormat="1" ht="15" customHeight="1" x14ac:dyDescent="0.3">
      <c r="B63" s="105"/>
      <c r="C63" s="116"/>
      <c r="D63" s="115"/>
      <c r="E63" s="114"/>
      <c r="F63" s="113"/>
      <c r="G63" s="112"/>
      <c r="H63" s="113"/>
      <c r="I63" s="112"/>
      <c r="J63" s="111"/>
      <c r="K63" s="56"/>
      <c r="L63" s="56"/>
      <c r="M63" s="55"/>
    </row>
    <row r="64" spans="1:13" s="45" customFormat="1" ht="15" customHeight="1" x14ac:dyDescent="0.3">
      <c r="A64" s="46"/>
      <c r="B64" s="51" t="s">
        <v>115</v>
      </c>
      <c r="C64" s="86"/>
      <c r="D64" s="100"/>
      <c r="E64" s="99"/>
      <c r="F64" s="65"/>
      <c r="G64" s="64"/>
      <c r="H64" s="65"/>
      <c r="I64" s="64"/>
      <c r="J64" s="63"/>
      <c r="K64" s="56"/>
      <c r="L64" s="56"/>
      <c r="M64" s="55"/>
    </row>
    <row r="65" spans="1:13" s="45" customFormat="1" ht="15" customHeight="1" x14ac:dyDescent="0.3">
      <c r="A65" s="46" t="s">
        <v>114</v>
      </c>
      <c r="B65" s="110" t="s">
        <v>113</v>
      </c>
      <c r="C65" s="94" t="s">
        <v>112</v>
      </c>
      <c r="D65" s="100">
        <v>20</v>
      </c>
      <c r="E65" s="99" t="s">
        <v>70</v>
      </c>
      <c r="F65" s="65">
        <v>7650</v>
      </c>
      <c r="G65" s="64"/>
      <c r="H65" s="65">
        <f t="shared" ref="H65:H73" si="3">D65*F65</f>
        <v>153000</v>
      </c>
      <c r="I65" s="64">
        <f t="shared" ref="I65:I70" si="4">D65*G65</f>
        <v>0</v>
      </c>
      <c r="J65" s="63">
        <f t="shared" ref="J65:J73" si="5">((H65/$G$8)+(I65))</f>
        <v>9.870967741935484</v>
      </c>
      <c r="K65" s="56" t="s">
        <v>111</v>
      </c>
      <c r="L65" s="56" t="s">
        <v>110</v>
      </c>
      <c r="M65" s="56" t="s">
        <v>109</v>
      </c>
    </row>
    <row r="66" spans="1:13" s="45" customFormat="1" ht="15" customHeight="1" x14ac:dyDescent="0.3">
      <c r="A66" s="46" t="s">
        <v>108</v>
      </c>
      <c r="B66" s="110" t="s">
        <v>107</v>
      </c>
      <c r="C66" s="94" t="s">
        <v>106</v>
      </c>
      <c r="D66" s="100">
        <v>2</v>
      </c>
      <c r="E66" s="99" t="s">
        <v>70</v>
      </c>
      <c r="F66" s="65">
        <v>38500</v>
      </c>
      <c r="G66" s="64"/>
      <c r="H66" s="65">
        <f t="shared" si="3"/>
        <v>77000</v>
      </c>
      <c r="I66" s="64">
        <f t="shared" si="4"/>
        <v>0</v>
      </c>
      <c r="J66" s="63">
        <f t="shared" si="5"/>
        <v>4.967741935483871</v>
      </c>
      <c r="K66" s="56" t="s">
        <v>61</v>
      </c>
      <c r="L66" s="56" t="s">
        <v>60</v>
      </c>
      <c r="M66" s="56" t="s">
        <v>96</v>
      </c>
    </row>
    <row r="67" spans="1:13" s="45" customFormat="1" ht="15" customHeight="1" x14ac:dyDescent="0.3">
      <c r="A67" s="46" t="s">
        <v>105</v>
      </c>
      <c r="B67" s="110" t="s">
        <v>104</v>
      </c>
      <c r="C67" s="94" t="s">
        <v>103</v>
      </c>
      <c r="D67" s="100">
        <v>2</v>
      </c>
      <c r="E67" s="99" t="s">
        <v>52</v>
      </c>
      <c r="F67" s="65">
        <v>56000</v>
      </c>
      <c r="G67" s="64"/>
      <c r="H67" s="65">
        <f t="shared" si="3"/>
        <v>112000</v>
      </c>
      <c r="I67" s="64">
        <f t="shared" si="4"/>
        <v>0</v>
      </c>
      <c r="J67" s="63">
        <f t="shared" si="5"/>
        <v>7.225806451612903</v>
      </c>
      <c r="K67" s="56" t="s">
        <v>61</v>
      </c>
      <c r="L67" s="56" t="s">
        <v>60</v>
      </c>
      <c r="M67" s="56" t="s">
        <v>96</v>
      </c>
    </row>
    <row r="68" spans="1:13" s="45" customFormat="1" ht="15" customHeight="1" x14ac:dyDescent="0.3">
      <c r="A68" s="46" t="s">
        <v>102</v>
      </c>
      <c r="B68" s="110" t="s">
        <v>101</v>
      </c>
      <c r="C68" s="94"/>
      <c r="D68" s="100">
        <v>2</v>
      </c>
      <c r="E68" s="99" t="s">
        <v>52</v>
      </c>
      <c r="F68" s="65">
        <v>0</v>
      </c>
      <c r="G68" s="64"/>
      <c r="H68" s="65">
        <f t="shared" si="3"/>
        <v>0</v>
      </c>
      <c r="I68" s="64">
        <f t="shared" si="4"/>
        <v>0</v>
      </c>
      <c r="J68" s="63">
        <f t="shared" si="5"/>
        <v>0</v>
      </c>
      <c r="K68" s="56"/>
      <c r="L68" s="56"/>
      <c r="M68" s="56"/>
    </row>
    <row r="69" spans="1:13" s="45" customFormat="1" ht="15" customHeight="1" x14ac:dyDescent="0.3">
      <c r="A69" s="46" t="s">
        <v>100</v>
      </c>
      <c r="B69" s="110" t="s">
        <v>99</v>
      </c>
      <c r="C69" s="94"/>
      <c r="D69" s="100">
        <v>4</v>
      </c>
      <c r="E69" s="99" t="s">
        <v>52</v>
      </c>
      <c r="F69" s="65">
        <f>230000/100</f>
        <v>2300</v>
      </c>
      <c r="G69" s="64"/>
      <c r="H69" s="65">
        <f t="shared" si="3"/>
        <v>9200</v>
      </c>
      <c r="I69" s="64">
        <f t="shared" si="4"/>
        <v>0</v>
      </c>
      <c r="J69" s="63">
        <f t="shared" si="5"/>
        <v>0.59354838709677415</v>
      </c>
      <c r="K69" s="56" t="s">
        <v>61</v>
      </c>
      <c r="L69" s="56" t="s">
        <v>60</v>
      </c>
      <c r="M69" s="56" t="s">
        <v>96</v>
      </c>
    </row>
    <row r="70" spans="1:13" s="45" customFormat="1" ht="15" customHeight="1" x14ac:dyDescent="0.3">
      <c r="A70" s="46" t="s">
        <v>98</v>
      </c>
      <c r="B70" s="109" t="s">
        <v>97</v>
      </c>
      <c r="C70" s="94"/>
      <c r="D70" s="103">
        <v>0</v>
      </c>
      <c r="E70" s="99" t="s">
        <v>52</v>
      </c>
      <c r="F70" s="90">
        <f>78000/100</f>
        <v>780</v>
      </c>
      <c r="G70" s="64"/>
      <c r="H70" s="65">
        <f t="shared" si="3"/>
        <v>0</v>
      </c>
      <c r="I70" s="64">
        <f t="shared" si="4"/>
        <v>0</v>
      </c>
      <c r="J70" s="63">
        <f t="shared" si="5"/>
        <v>0</v>
      </c>
      <c r="K70" s="56" t="s">
        <v>61</v>
      </c>
      <c r="L70" s="56" t="s">
        <v>60</v>
      </c>
      <c r="M70" s="56" t="s">
        <v>96</v>
      </c>
    </row>
    <row r="71" spans="1:13" s="45" customFormat="1" ht="15" customHeight="1" x14ac:dyDescent="0.3">
      <c r="A71" s="46"/>
      <c r="B71" s="87"/>
      <c r="C71" s="105"/>
      <c r="D71" s="100"/>
      <c r="E71" s="99"/>
      <c r="F71" s="65"/>
      <c r="G71" s="64"/>
      <c r="H71" s="65">
        <f t="shared" si="3"/>
        <v>0</v>
      </c>
      <c r="I71" s="64"/>
      <c r="J71" s="63">
        <f t="shared" si="5"/>
        <v>0</v>
      </c>
      <c r="K71" s="56"/>
      <c r="L71" s="56"/>
      <c r="M71" s="55"/>
    </row>
    <row r="72" spans="1:13" s="45" customFormat="1" ht="15" customHeight="1" x14ac:dyDescent="0.3">
      <c r="B72" s="108" t="s">
        <v>95</v>
      </c>
      <c r="C72" s="86"/>
      <c r="D72" s="100"/>
      <c r="E72" s="99"/>
      <c r="F72" s="65"/>
      <c r="G72" s="64"/>
      <c r="H72" s="65">
        <f t="shared" si="3"/>
        <v>0</v>
      </c>
      <c r="I72" s="64"/>
      <c r="J72" s="63">
        <f t="shared" si="5"/>
        <v>0</v>
      </c>
      <c r="K72" s="56"/>
      <c r="L72" s="56"/>
      <c r="M72" s="55"/>
    </row>
    <row r="73" spans="1:13" s="45" customFormat="1" ht="45.6" customHeight="1" x14ac:dyDescent="0.3">
      <c r="A73" s="46" t="s">
        <v>94</v>
      </c>
      <c r="B73" s="105" t="s">
        <v>93</v>
      </c>
      <c r="C73" s="105" t="s">
        <v>92</v>
      </c>
      <c r="D73" s="100">
        <v>1</v>
      </c>
      <c r="E73" s="99" t="s">
        <v>91</v>
      </c>
      <c r="F73" s="65">
        <v>1200000</v>
      </c>
      <c r="G73" s="64"/>
      <c r="H73" s="65">
        <f t="shared" si="3"/>
        <v>1200000</v>
      </c>
      <c r="I73" s="64">
        <f>D73*G73</f>
        <v>0</v>
      </c>
      <c r="J73" s="63">
        <f t="shared" si="5"/>
        <v>77.41935483870968</v>
      </c>
      <c r="K73" s="107" t="s">
        <v>90</v>
      </c>
      <c r="L73" s="56" t="s">
        <v>89</v>
      </c>
      <c r="M73" s="106" t="s">
        <v>88</v>
      </c>
    </row>
    <row r="74" spans="1:13" s="45" customFormat="1" ht="15" customHeight="1" x14ac:dyDescent="0.35">
      <c r="A74" s="46"/>
      <c r="B74" s="105"/>
      <c r="C74" s="104"/>
      <c r="D74" s="100"/>
      <c r="E74" s="99"/>
      <c r="F74" s="65"/>
      <c r="G74" s="64"/>
      <c r="H74" s="65"/>
      <c r="I74" s="64"/>
      <c r="J74" s="63"/>
      <c r="K74" s="56"/>
      <c r="L74" s="56"/>
      <c r="M74" s="55"/>
    </row>
    <row r="75" spans="1:13" s="45" customFormat="1" ht="15" customHeight="1" x14ac:dyDescent="0.3">
      <c r="B75" s="209" t="s">
        <v>87</v>
      </c>
      <c r="C75" s="210"/>
      <c r="D75" s="100"/>
      <c r="E75" s="99"/>
      <c r="F75" s="65"/>
      <c r="G75" s="64"/>
      <c r="H75" s="65"/>
      <c r="I75" s="64"/>
      <c r="J75" s="63"/>
      <c r="K75" s="56"/>
      <c r="L75" s="56"/>
      <c r="M75" s="55"/>
    </row>
    <row r="76" spans="1:13" s="45" customFormat="1" ht="15" customHeight="1" x14ac:dyDescent="0.3">
      <c r="A76" s="46" t="s">
        <v>86</v>
      </c>
      <c r="B76" s="102" t="s">
        <v>85</v>
      </c>
      <c r="C76" s="101" t="s">
        <v>84</v>
      </c>
      <c r="D76" s="103">
        <v>0</v>
      </c>
      <c r="E76" s="99" t="s">
        <v>52</v>
      </c>
      <c r="F76" s="65"/>
      <c r="G76" s="64"/>
      <c r="H76" s="65">
        <f t="shared" ref="H76:H92" si="6">D76*F76</f>
        <v>0</v>
      </c>
      <c r="I76" s="64">
        <f t="shared" ref="I76:I92" si="7">D76*G76</f>
        <v>0</v>
      </c>
      <c r="J76" s="63">
        <f t="shared" ref="J76:J92" si="8">((H76/$G$8)+(I76))</f>
        <v>0</v>
      </c>
      <c r="K76" s="56"/>
      <c r="L76" s="56"/>
      <c r="M76" s="55"/>
    </row>
    <row r="77" spans="1:13" s="45" customFormat="1" ht="15" customHeight="1" x14ac:dyDescent="0.3">
      <c r="A77" s="46" t="s">
        <v>83</v>
      </c>
      <c r="B77" s="102" t="s">
        <v>82</v>
      </c>
      <c r="C77" s="101" t="s">
        <v>81</v>
      </c>
      <c r="D77" s="100">
        <v>0</v>
      </c>
      <c r="E77" s="99" t="s">
        <v>52</v>
      </c>
      <c r="F77" s="65"/>
      <c r="G77" s="64"/>
      <c r="H77" s="65">
        <f t="shared" si="6"/>
        <v>0</v>
      </c>
      <c r="I77" s="64">
        <f t="shared" si="7"/>
        <v>0</v>
      </c>
      <c r="J77" s="63">
        <f t="shared" si="8"/>
        <v>0</v>
      </c>
      <c r="K77" s="56"/>
      <c r="L77" s="56"/>
      <c r="M77" s="55"/>
    </row>
    <row r="78" spans="1:13" s="45" customFormat="1" ht="15" customHeight="1" x14ac:dyDescent="0.3">
      <c r="A78" s="46" t="s">
        <v>80</v>
      </c>
      <c r="B78" s="98" t="s">
        <v>79</v>
      </c>
      <c r="C78" s="94"/>
      <c r="D78" s="100">
        <v>20</v>
      </c>
      <c r="E78" s="99" t="s">
        <v>52</v>
      </c>
      <c r="F78" s="65">
        <f>29000/100</f>
        <v>290</v>
      </c>
      <c r="G78" s="64"/>
      <c r="H78" s="65">
        <f t="shared" si="6"/>
        <v>5800</v>
      </c>
      <c r="I78" s="64">
        <f t="shared" si="7"/>
        <v>0</v>
      </c>
      <c r="J78" s="63">
        <f t="shared" si="8"/>
        <v>0.37419354838709679</v>
      </c>
      <c r="K78" s="212" t="s">
        <v>51</v>
      </c>
      <c r="L78" s="212" t="s">
        <v>50</v>
      </c>
      <c r="M78" s="212" t="s">
        <v>78</v>
      </c>
    </row>
    <row r="79" spans="1:13" s="45" customFormat="1" ht="15" customHeight="1" x14ac:dyDescent="0.3">
      <c r="A79" s="46" t="s">
        <v>77</v>
      </c>
      <c r="B79" s="98" t="s">
        <v>76</v>
      </c>
      <c r="C79" s="94"/>
      <c r="D79" s="100">
        <v>30</v>
      </c>
      <c r="E79" s="99" t="s">
        <v>52</v>
      </c>
      <c r="F79" s="65">
        <f>31000/100</f>
        <v>310</v>
      </c>
      <c r="G79" s="64"/>
      <c r="H79" s="65">
        <f t="shared" si="6"/>
        <v>9300</v>
      </c>
      <c r="I79" s="64">
        <f t="shared" si="7"/>
        <v>0</v>
      </c>
      <c r="J79" s="63">
        <f t="shared" si="8"/>
        <v>0.6</v>
      </c>
      <c r="K79" s="213"/>
      <c r="L79" s="213"/>
      <c r="M79" s="213"/>
    </row>
    <row r="80" spans="1:13" s="45" customFormat="1" ht="15" customHeight="1" x14ac:dyDescent="0.3">
      <c r="A80" s="46" t="s">
        <v>75</v>
      </c>
      <c r="B80" s="98" t="s">
        <v>74</v>
      </c>
      <c r="C80" s="94"/>
      <c r="D80" s="100">
        <v>30</v>
      </c>
      <c r="E80" s="99" t="s">
        <v>52</v>
      </c>
      <c r="F80" s="65">
        <f>38000/100</f>
        <v>380</v>
      </c>
      <c r="G80" s="64"/>
      <c r="H80" s="65">
        <f t="shared" si="6"/>
        <v>11400</v>
      </c>
      <c r="I80" s="64">
        <f t="shared" si="7"/>
        <v>0</v>
      </c>
      <c r="J80" s="63">
        <f t="shared" si="8"/>
        <v>0.73548387096774193</v>
      </c>
      <c r="K80" s="214"/>
      <c r="L80" s="214"/>
      <c r="M80" s="214"/>
    </row>
    <row r="81" spans="1:13" s="45" customFormat="1" ht="15" customHeight="1" x14ac:dyDescent="0.3">
      <c r="A81" s="46" t="s">
        <v>73</v>
      </c>
      <c r="B81" s="98" t="s">
        <v>72</v>
      </c>
      <c r="C81" s="101" t="s">
        <v>71</v>
      </c>
      <c r="D81" s="100">
        <v>0.3</v>
      </c>
      <c r="E81" s="99" t="s">
        <v>70</v>
      </c>
      <c r="F81" s="65">
        <f>68000/9</f>
        <v>7555.5555555555557</v>
      </c>
      <c r="G81" s="64"/>
      <c r="H81" s="65">
        <f t="shared" si="6"/>
        <v>2266.6666666666665</v>
      </c>
      <c r="I81" s="64">
        <f t="shared" si="7"/>
        <v>0</v>
      </c>
      <c r="J81" s="63">
        <f t="shared" si="8"/>
        <v>0.14623655913978495</v>
      </c>
      <c r="K81" s="56" t="s">
        <v>61</v>
      </c>
      <c r="L81" s="56" t="s">
        <v>60</v>
      </c>
      <c r="M81" s="56" t="s">
        <v>59</v>
      </c>
    </row>
    <row r="82" spans="1:13" s="45" customFormat="1" ht="15" customHeight="1" x14ac:dyDescent="0.3">
      <c r="A82" s="46" t="s">
        <v>69</v>
      </c>
      <c r="B82" s="98" t="s">
        <v>68</v>
      </c>
      <c r="C82" s="101" t="s">
        <v>67</v>
      </c>
      <c r="D82" s="100">
        <v>1</v>
      </c>
      <c r="E82" s="99" t="s">
        <v>52</v>
      </c>
      <c r="F82" s="65">
        <v>10000</v>
      </c>
      <c r="G82" s="64"/>
      <c r="H82" s="65">
        <f t="shared" si="6"/>
        <v>10000</v>
      </c>
      <c r="I82" s="64">
        <f t="shared" si="7"/>
        <v>0</v>
      </c>
      <c r="J82" s="63">
        <f t="shared" si="8"/>
        <v>0.64516129032258063</v>
      </c>
      <c r="K82" s="212" t="s">
        <v>51</v>
      </c>
      <c r="L82" s="212" t="s">
        <v>50</v>
      </c>
      <c r="M82" s="212" t="s">
        <v>49</v>
      </c>
    </row>
    <row r="83" spans="1:13" s="45" customFormat="1" ht="15" customHeight="1" x14ac:dyDescent="0.3">
      <c r="A83" s="46" t="s">
        <v>66</v>
      </c>
      <c r="B83" s="98" t="s">
        <v>65</v>
      </c>
      <c r="C83" s="94" t="s">
        <v>64</v>
      </c>
      <c r="D83" s="100">
        <v>2</v>
      </c>
      <c r="E83" s="99" t="s">
        <v>55</v>
      </c>
      <c r="F83" s="65">
        <v>6500</v>
      </c>
      <c r="G83" s="64"/>
      <c r="H83" s="65">
        <f t="shared" si="6"/>
        <v>13000</v>
      </c>
      <c r="I83" s="64">
        <f t="shared" si="7"/>
        <v>0</v>
      </c>
      <c r="J83" s="63">
        <f t="shared" si="8"/>
        <v>0.83870967741935487</v>
      </c>
      <c r="K83" s="214"/>
      <c r="L83" s="214"/>
      <c r="M83" s="214"/>
    </row>
    <row r="84" spans="1:13" s="45" customFormat="1" ht="15" customHeight="1" x14ac:dyDescent="0.3">
      <c r="A84" s="46" t="s">
        <v>63</v>
      </c>
      <c r="B84" s="98" t="s">
        <v>57</v>
      </c>
      <c r="C84" s="96" t="s">
        <v>62</v>
      </c>
      <c r="D84" s="100">
        <v>1</v>
      </c>
      <c r="E84" s="99" t="s">
        <v>55</v>
      </c>
      <c r="F84" s="65">
        <v>3250</v>
      </c>
      <c r="G84" s="64"/>
      <c r="H84" s="65">
        <f t="shared" si="6"/>
        <v>3250</v>
      </c>
      <c r="I84" s="64">
        <f t="shared" si="7"/>
        <v>0</v>
      </c>
      <c r="J84" s="63">
        <f t="shared" si="8"/>
        <v>0.20967741935483872</v>
      </c>
      <c r="K84" s="212" t="s">
        <v>61</v>
      </c>
      <c r="L84" s="212" t="s">
        <v>60</v>
      </c>
      <c r="M84" s="212" t="s">
        <v>59</v>
      </c>
    </row>
    <row r="85" spans="1:13" s="45" customFormat="1" ht="15" customHeight="1" x14ac:dyDescent="0.3">
      <c r="A85" s="46" t="s">
        <v>58</v>
      </c>
      <c r="B85" s="98" t="s">
        <v>57</v>
      </c>
      <c r="C85" s="96" t="s">
        <v>56</v>
      </c>
      <c r="D85" s="92">
        <v>2</v>
      </c>
      <c r="E85" s="91" t="s">
        <v>55</v>
      </c>
      <c r="F85" s="65">
        <v>2800</v>
      </c>
      <c r="G85" s="89"/>
      <c r="H85" s="65">
        <f t="shared" si="6"/>
        <v>5600</v>
      </c>
      <c r="I85" s="64">
        <f t="shared" si="7"/>
        <v>0</v>
      </c>
      <c r="J85" s="63">
        <f t="shared" si="8"/>
        <v>0.36129032258064514</v>
      </c>
      <c r="K85" s="214"/>
      <c r="L85" s="214"/>
      <c r="M85" s="214"/>
    </row>
    <row r="86" spans="1:13" s="45" customFormat="1" ht="15" customHeight="1" x14ac:dyDescent="0.3">
      <c r="A86" s="46" t="s">
        <v>33</v>
      </c>
      <c r="B86" s="97" t="s">
        <v>54</v>
      </c>
      <c r="C86" s="96" t="s">
        <v>53</v>
      </c>
      <c r="D86" s="92">
        <v>18</v>
      </c>
      <c r="E86" s="91" t="s">
        <v>52</v>
      </c>
      <c r="F86" s="90">
        <f>75000/250</f>
        <v>300</v>
      </c>
      <c r="G86" s="89"/>
      <c r="H86" s="65">
        <f t="shared" si="6"/>
        <v>5400</v>
      </c>
      <c r="I86" s="89">
        <f t="shared" si="7"/>
        <v>0</v>
      </c>
      <c r="J86" s="88">
        <f t="shared" si="8"/>
        <v>0.34838709677419355</v>
      </c>
      <c r="K86" s="56" t="s">
        <v>51</v>
      </c>
      <c r="L86" s="56" t="s">
        <v>50</v>
      </c>
      <c r="M86" s="56" t="s">
        <v>49</v>
      </c>
    </row>
    <row r="87" spans="1:13" s="45" customFormat="1" ht="15" customHeight="1" x14ac:dyDescent="0.3">
      <c r="A87" s="95" t="s">
        <v>48</v>
      </c>
      <c r="B87" s="94" t="s">
        <v>47</v>
      </c>
      <c r="C87" s="96"/>
      <c r="D87" s="92">
        <v>0</v>
      </c>
      <c r="E87" s="91" t="s">
        <v>40</v>
      </c>
      <c r="F87" s="90">
        <v>2900</v>
      </c>
      <c r="G87" s="89"/>
      <c r="H87" s="65">
        <f t="shared" si="6"/>
        <v>0</v>
      </c>
      <c r="I87" s="89">
        <f t="shared" si="7"/>
        <v>0</v>
      </c>
      <c r="J87" s="88">
        <f t="shared" si="8"/>
        <v>0</v>
      </c>
      <c r="K87" s="56" t="s">
        <v>39</v>
      </c>
      <c r="L87" s="56" t="s">
        <v>38</v>
      </c>
      <c r="M87" s="212" t="s">
        <v>46</v>
      </c>
    </row>
    <row r="88" spans="1:13" s="45" customFormat="1" ht="15" customHeight="1" x14ac:dyDescent="0.3">
      <c r="A88" s="95" t="s">
        <v>37</v>
      </c>
      <c r="B88" s="94" t="s">
        <v>45</v>
      </c>
      <c r="C88" s="96"/>
      <c r="D88" s="92">
        <v>0</v>
      </c>
      <c r="E88" s="91" t="s">
        <v>40</v>
      </c>
      <c r="F88" s="90">
        <v>3400</v>
      </c>
      <c r="G88" s="89"/>
      <c r="H88" s="65">
        <f t="shared" si="6"/>
        <v>0</v>
      </c>
      <c r="I88" s="89">
        <f t="shared" si="7"/>
        <v>0</v>
      </c>
      <c r="J88" s="88">
        <f t="shared" si="8"/>
        <v>0</v>
      </c>
      <c r="K88" s="56" t="s">
        <v>39</v>
      </c>
      <c r="L88" s="56" t="s">
        <v>38</v>
      </c>
      <c r="M88" s="213"/>
    </row>
    <row r="89" spans="1:13" s="45" customFormat="1" ht="15" customHeight="1" x14ac:dyDescent="0.3">
      <c r="A89" s="95" t="s">
        <v>44</v>
      </c>
      <c r="B89" s="94" t="s">
        <v>43</v>
      </c>
      <c r="C89" s="96"/>
      <c r="D89" s="92">
        <v>0</v>
      </c>
      <c r="E89" s="91" t="s">
        <v>40</v>
      </c>
      <c r="F89" s="90">
        <v>6300</v>
      </c>
      <c r="G89" s="89"/>
      <c r="H89" s="65">
        <f t="shared" si="6"/>
        <v>0</v>
      </c>
      <c r="I89" s="89">
        <f t="shared" si="7"/>
        <v>0</v>
      </c>
      <c r="J89" s="88">
        <f t="shared" si="8"/>
        <v>0</v>
      </c>
      <c r="K89" s="56" t="s">
        <v>39</v>
      </c>
      <c r="L89" s="56" t="s">
        <v>38</v>
      </c>
      <c r="M89" s="213"/>
    </row>
    <row r="90" spans="1:13" s="45" customFormat="1" ht="15" customHeight="1" x14ac:dyDescent="0.3">
      <c r="A90" s="95" t="s">
        <v>42</v>
      </c>
      <c r="B90" s="94" t="s">
        <v>41</v>
      </c>
      <c r="C90" s="96"/>
      <c r="D90" s="92">
        <v>0</v>
      </c>
      <c r="E90" s="91" t="s">
        <v>40</v>
      </c>
      <c r="F90" s="90">
        <v>1500</v>
      </c>
      <c r="G90" s="89"/>
      <c r="H90" s="65">
        <f t="shared" si="6"/>
        <v>0</v>
      </c>
      <c r="I90" s="89">
        <f t="shared" si="7"/>
        <v>0</v>
      </c>
      <c r="J90" s="88">
        <f t="shared" si="8"/>
        <v>0</v>
      </c>
      <c r="K90" s="56" t="s">
        <v>39</v>
      </c>
      <c r="L90" s="56" t="s">
        <v>38</v>
      </c>
      <c r="M90" s="214"/>
    </row>
    <row r="91" spans="1:13" s="45" customFormat="1" ht="15" customHeight="1" x14ac:dyDescent="0.3">
      <c r="A91" s="95" t="s">
        <v>37</v>
      </c>
      <c r="B91" s="94" t="s">
        <v>36</v>
      </c>
      <c r="C91" s="93" t="s">
        <v>35</v>
      </c>
      <c r="D91" s="92">
        <v>0</v>
      </c>
      <c r="E91" s="91" t="s">
        <v>10</v>
      </c>
      <c r="F91" s="90">
        <v>26000</v>
      </c>
      <c r="G91" s="89"/>
      <c r="H91" s="65">
        <f t="shared" si="6"/>
        <v>0</v>
      </c>
      <c r="I91" s="89">
        <f t="shared" si="7"/>
        <v>0</v>
      </c>
      <c r="J91" s="88">
        <f t="shared" si="8"/>
        <v>0</v>
      </c>
      <c r="K91" s="56" t="s">
        <v>30</v>
      </c>
      <c r="L91" s="56" t="s">
        <v>29</v>
      </c>
      <c r="M91" s="212" t="s">
        <v>34</v>
      </c>
    </row>
    <row r="92" spans="1:13" s="45" customFormat="1" ht="15" customHeight="1" x14ac:dyDescent="0.3">
      <c r="A92" s="95" t="s">
        <v>33</v>
      </c>
      <c r="B92" s="94" t="s">
        <v>32</v>
      </c>
      <c r="C92" s="93" t="s">
        <v>31</v>
      </c>
      <c r="D92" s="92">
        <v>0</v>
      </c>
      <c r="E92" s="91" t="s">
        <v>10</v>
      </c>
      <c r="F92" s="90">
        <v>26300</v>
      </c>
      <c r="G92" s="89"/>
      <c r="H92" s="65">
        <f t="shared" si="6"/>
        <v>0</v>
      </c>
      <c r="I92" s="89">
        <f t="shared" si="7"/>
        <v>0</v>
      </c>
      <c r="J92" s="88">
        <f t="shared" si="8"/>
        <v>0</v>
      </c>
      <c r="K92" s="56" t="s">
        <v>30</v>
      </c>
      <c r="L92" s="56" t="s">
        <v>29</v>
      </c>
      <c r="M92" s="214"/>
    </row>
    <row r="93" spans="1:13" s="45" customFormat="1" ht="15" customHeight="1" thickBot="1" x14ac:dyDescent="0.35">
      <c r="A93" s="46"/>
      <c r="B93" s="87"/>
      <c r="C93" s="86"/>
      <c r="D93" s="85"/>
      <c r="E93" s="84"/>
      <c r="F93" s="59"/>
      <c r="G93" s="58"/>
      <c r="H93" s="59"/>
      <c r="I93" s="58"/>
      <c r="J93" s="57"/>
      <c r="K93" s="56"/>
      <c r="L93" s="56"/>
      <c r="M93" s="55"/>
    </row>
    <row r="94" spans="1:13" s="25" customFormat="1" ht="15" customHeight="1" thickBot="1" x14ac:dyDescent="0.35">
      <c r="A94" s="26"/>
      <c r="B94" s="43" t="s">
        <v>28</v>
      </c>
      <c r="C94" s="42"/>
      <c r="D94" s="41"/>
      <c r="E94" s="40"/>
      <c r="F94" s="38">
        <f>SUM(F60:F93)</f>
        <v>1598015.5555555555</v>
      </c>
      <c r="G94" s="39">
        <f>SUM(G60:G63)</f>
        <v>0</v>
      </c>
      <c r="H94" s="38">
        <f>SUM(H60:H93)</f>
        <v>1617216.6666666667</v>
      </c>
      <c r="I94" s="39">
        <f>SUM(I60:I63)</f>
        <v>0</v>
      </c>
      <c r="J94" s="83">
        <f>((H94/$G$8)+(I94))</f>
        <v>104.33655913978495</v>
      </c>
      <c r="K94" s="26"/>
      <c r="L94" s="26"/>
    </row>
    <row r="95" spans="1:13" s="25" customFormat="1" ht="4.5" customHeight="1" x14ac:dyDescent="0.3">
      <c r="D95" s="26"/>
      <c r="E95" s="77"/>
      <c r="F95" s="28"/>
      <c r="G95" s="27"/>
      <c r="H95" s="28"/>
      <c r="I95" s="27"/>
      <c r="J95" s="27"/>
      <c r="K95" s="26"/>
      <c r="L95" s="26"/>
    </row>
    <row r="96" spans="1:13" s="25" customFormat="1" ht="4.5" customHeight="1" x14ac:dyDescent="0.3">
      <c r="D96" s="26"/>
      <c r="E96" s="77"/>
      <c r="F96" s="28"/>
      <c r="G96" s="27"/>
      <c r="H96" s="28"/>
      <c r="I96" s="27"/>
      <c r="J96" s="27"/>
      <c r="K96" s="26"/>
      <c r="L96" s="26"/>
    </row>
    <row r="97" spans="1:13" s="25" customFormat="1" ht="15" customHeight="1" thickBot="1" x14ac:dyDescent="0.35">
      <c r="A97" s="82" t="s">
        <v>27</v>
      </c>
      <c r="B97" s="31" t="s">
        <v>26</v>
      </c>
      <c r="D97" s="75"/>
      <c r="E97" s="74"/>
      <c r="F97" s="28"/>
      <c r="G97" s="27"/>
      <c r="H97" s="28"/>
      <c r="I97" s="27"/>
      <c r="J97" s="27"/>
      <c r="K97" s="26"/>
      <c r="L97" s="26"/>
    </row>
    <row r="98" spans="1:13" s="45" customFormat="1" ht="15" customHeight="1" x14ac:dyDescent="0.3">
      <c r="A98" s="46" t="s">
        <v>25</v>
      </c>
      <c r="B98" s="81" t="s">
        <v>24</v>
      </c>
      <c r="C98" s="80"/>
      <c r="D98" s="72">
        <v>1</v>
      </c>
      <c r="E98" s="71" t="s">
        <v>10</v>
      </c>
      <c r="F98" s="70"/>
      <c r="G98" s="69">
        <v>10</v>
      </c>
      <c r="H98" s="70"/>
      <c r="I98" s="69">
        <f>D98*G98</f>
        <v>10</v>
      </c>
      <c r="J98" s="68">
        <f>((H98/$G$8)+(I98))</f>
        <v>10</v>
      </c>
      <c r="K98" s="56"/>
      <c r="L98" s="56"/>
      <c r="M98" s="55"/>
    </row>
    <row r="99" spans="1:13" s="45" customFormat="1" ht="15" customHeight="1" x14ac:dyDescent="0.3">
      <c r="A99" s="46" t="s">
        <v>23</v>
      </c>
      <c r="B99" s="79"/>
      <c r="C99" s="79"/>
      <c r="D99" s="67"/>
      <c r="E99" s="66"/>
      <c r="F99" s="65"/>
      <c r="G99" s="64"/>
      <c r="H99" s="65"/>
      <c r="I99" s="64"/>
      <c r="J99" s="63"/>
      <c r="K99" s="56"/>
      <c r="L99" s="56"/>
      <c r="M99" s="55"/>
    </row>
    <row r="100" spans="1:13" s="45" customFormat="1" ht="15" customHeight="1" thickBot="1" x14ac:dyDescent="0.35">
      <c r="A100" s="73"/>
      <c r="B100" s="79"/>
      <c r="C100" s="79"/>
      <c r="D100" s="61"/>
      <c r="E100" s="60"/>
      <c r="F100" s="59"/>
      <c r="G100" s="58"/>
      <c r="H100" s="59"/>
      <c r="I100" s="58"/>
      <c r="J100" s="57"/>
      <c r="K100" s="56"/>
      <c r="L100" s="56"/>
      <c r="M100" s="55"/>
    </row>
    <row r="101" spans="1:13" s="25" customFormat="1" ht="15" customHeight="1" thickBot="1" x14ac:dyDescent="0.35">
      <c r="A101" s="78"/>
      <c r="B101" s="43" t="s">
        <v>22</v>
      </c>
      <c r="C101" s="42"/>
      <c r="D101" s="41"/>
      <c r="E101" s="40"/>
      <c r="F101" s="38">
        <f>SUM(F98:F100)</f>
        <v>0</v>
      </c>
      <c r="G101" s="39">
        <f>SUM(G98:G100)</f>
        <v>10</v>
      </c>
      <c r="H101" s="38">
        <f>SUM(H98:H100)</f>
        <v>0</v>
      </c>
      <c r="I101" s="39">
        <f>SUM(I98:I100)</f>
        <v>10</v>
      </c>
      <c r="J101" s="54">
        <f>((H101/$G$8)+(I101))</f>
        <v>10</v>
      </c>
      <c r="K101" s="35"/>
      <c r="L101" s="35"/>
      <c r="M101" s="34"/>
    </row>
    <row r="102" spans="1:13" s="25" customFormat="1" ht="5.0999999999999996" customHeight="1" x14ac:dyDescent="0.3">
      <c r="A102" s="33"/>
      <c r="D102" s="26"/>
      <c r="E102" s="77"/>
      <c r="F102" s="28"/>
      <c r="G102" s="27"/>
      <c r="H102" s="28"/>
      <c r="I102" s="27"/>
      <c r="J102" s="27"/>
      <c r="K102" s="26"/>
      <c r="L102" s="26"/>
    </row>
    <row r="103" spans="1:13" s="25" customFormat="1" ht="5.0999999999999996" customHeight="1" x14ac:dyDescent="0.3">
      <c r="A103" s="33"/>
      <c r="D103" s="26"/>
      <c r="E103" s="77"/>
      <c r="F103" s="28"/>
      <c r="G103" s="27"/>
      <c r="H103" s="28"/>
      <c r="I103" s="27"/>
      <c r="J103" s="27"/>
      <c r="K103" s="26"/>
      <c r="L103" s="26"/>
    </row>
    <row r="104" spans="1:13" s="25" customFormat="1" ht="15" customHeight="1" thickBot="1" x14ac:dyDescent="0.35">
      <c r="A104" s="76" t="s">
        <v>21</v>
      </c>
      <c r="B104" s="31" t="s">
        <v>20</v>
      </c>
      <c r="D104" s="75"/>
      <c r="E104" s="74"/>
      <c r="F104" s="28"/>
      <c r="G104" s="27"/>
      <c r="H104" s="28"/>
      <c r="I104" s="27"/>
      <c r="J104" s="27"/>
      <c r="K104" s="26"/>
      <c r="L104" s="26"/>
    </row>
    <row r="105" spans="1:13" s="45" customFormat="1" ht="15" customHeight="1" x14ac:dyDescent="0.3">
      <c r="A105" s="46" t="s">
        <v>19</v>
      </c>
      <c r="B105" s="62"/>
      <c r="D105" s="72"/>
      <c r="E105" s="71"/>
      <c r="F105" s="70"/>
      <c r="G105" s="69"/>
      <c r="H105" s="70">
        <f>D105*F105</f>
        <v>0</v>
      </c>
      <c r="I105" s="69">
        <f>D105*G105</f>
        <v>0</v>
      </c>
      <c r="J105" s="68">
        <f>((H105/$G$8)+(I105))</f>
        <v>0</v>
      </c>
      <c r="K105" s="56"/>
      <c r="L105" s="56"/>
      <c r="M105" s="55"/>
    </row>
    <row r="106" spans="1:13" s="45" customFormat="1" ht="15" customHeight="1" x14ac:dyDescent="0.3">
      <c r="A106" s="46" t="s">
        <v>18</v>
      </c>
      <c r="B106" s="62"/>
      <c r="D106" s="67"/>
      <c r="E106" s="66"/>
      <c r="F106" s="65"/>
      <c r="G106" s="64"/>
      <c r="H106" s="65"/>
      <c r="I106" s="64"/>
      <c r="J106" s="63"/>
      <c r="K106" s="56"/>
      <c r="L106" s="56"/>
      <c r="M106" s="55"/>
    </row>
    <row r="107" spans="1:13" s="45" customFormat="1" ht="15" customHeight="1" thickBot="1" x14ac:dyDescent="0.35">
      <c r="A107" s="46"/>
      <c r="B107" s="62"/>
      <c r="D107" s="61"/>
      <c r="E107" s="60"/>
      <c r="F107" s="59"/>
      <c r="G107" s="58"/>
      <c r="H107" s="59"/>
      <c r="I107" s="58"/>
      <c r="J107" s="57"/>
      <c r="K107" s="56"/>
      <c r="L107" s="56"/>
      <c r="M107" s="55"/>
    </row>
    <row r="108" spans="1:13" s="25" customFormat="1" ht="15" customHeight="1" thickBot="1" x14ac:dyDescent="0.35">
      <c r="A108" s="33"/>
      <c r="B108" s="43" t="s">
        <v>17</v>
      </c>
      <c r="C108" s="42"/>
      <c r="D108" s="41"/>
      <c r="E108" s="40"/>
      <c r="F108" s="38">
        <f>SUM(F105:F107)</f>
        <v>0</v>
      </c>
      <c r="G108" s="39">
        <f>SUM(G105:G107)</f>
        <v>0</v>
      </c>
      <c r="H108" s="38">
        <f>SUM(H105:H107)</f>
        <v>0</v>
      </c>
      <c r="I108" s="39">
        <f>SUM(I105:I107)</f>
        <v>0</v>
      </c>
      <c r="J108" s="54">
        <f>((H108/$G$8)+(I108))</f>
        <v>0</v>
      </c>
      <c r="K108" s="35"/>
      <c r="L108" s="35"/>
      <c r="M108" s="34"/>
    </row>
    <row r="109" spans="1:13" s="25" customFormat="1" ht="5.0999999999999996" customHeight="1" x14ac:dyDescent="0.3">
      <c r="A109" s="33"/>
      <c r="D109" s="26"/>
      <c r="E109" s="77"/>
      <c r="F109" s="28"/>
      <c r="G109" s="27"/>
      <c r="H109" s="28"/>
      <c r="I109" s="27"/>
      <c r="J109" s="27"/>
      <c r="K109" s="26"/>
      <c r="L109" s="26"/>
    </row>
    <row r="110" spans="1:13" s="25" customFormat="1" ht="5.0999999999999996" customHeight="1" x14ac:dyDescent="0.3">
      <c r="A110" s="33"/>
      <c r="D110" s="26"/>
      <c r="E110" s="77"/>
      <c r="F110" s="28"/>
      <c r="G110" s="27"/>
      <c r="H110" s="28"/>
      <c r="I110" s="27"/>
      <c r="J110" s="27"/>
      <c r="K110" s="26"/>
      <c r="L110" s="26"/>
    </row>
    <row r="111" spans="1:13" s="25" customFormat="1" ht="15" customHeight="1" thickBot="1" x14ac:dyDescent="0.35">
      <c r="A111" s="76" t="s">
        <v>16</v>
      </c>
      <c r="B111" s="31" t="s">
        <v>15</v>
      </c>
      <c r="D111" s="75"/>
      <c r="E111" s="74"/>
      <c r="F111" s="28"/>
      <c r="G111" s="27"/>
      <c r="H111" s="28"/>
      <c r="I111" s="27"/>
      <c r="J111" s="27"/>
      <c r="K111" s="26"/>
      <c r="L111" s="26"/>
    </row>
    <row r="112" spans="1:13" s="45" customFormat="1" ht="15" customHeight="1" x14ac:dyDescent="0.3">
      <c r="A112" s="73"/>
      <c r="B112" s="51" t="s">
        <v>14</v>
      </c>
      <c r="D112" s="72"/>
      <c r="E112" s="71"/>
      <c r="F112" s="70"/>
      <c r="G112" s="69"/>
      <c r="H112" s="70"/>
      <c r="I112" s="69"/>
      <c r="J112" s="68"/>
      <c r="K112" s="56"/>
      <c r="L112" s="56"/>
      <c r="M112" s="55"/>
    </row>
    <row r="113" spans="1:13" s="45" customFormat="1" ht="15" customHeight="1" x14ac:dyDescent="0.3">
      <c r="A113" s="46" t="s">
        <v>13</v>
      </c>
      <c r="B113" s="62" t="s">
        <v>12</v>
      </c>
      <c r="C113" s="45" t="s">
        <v>11</v>
      </c>
      <c r="D113" s="67">
        <v>1</v>
      </c>
      <c r="E113" s="66" t="s">
        <v>10</v>
      </c>
      <c r="F113" s="65">
        <v>0</v>
      </c>
      <c r="G113" s="64"/>
      <c r="H113" s="65">
        <f>D113*F113</f>
        <v>0</v>
      </c>
      <c r="I113" s="64">
        <f>D113*G113</f>
        <v>0</v>
      </c>
      <c r="J113" s="63">
        <f>((H113/$G$8)+(I113))</f>
        <v>0</v>
      </c>
      <c r="K113" s="56"/>
      <c r="L113" s="56"/>
      <c r="M113" s="55"/>
    </row>
    <row r="114" spans="1:13" s="45" customFormat="1" ht="15" customHeight="1" x14ac:dyDescent="0.3">
      <c r="A114" s="46" t="s">
        <v>9</v>
      </c>
      <c r="B114" s="62"/>
      <c r="D114" s="67"/>
      <c r="E114" s="66"/>
      <c r="F114" s="65"/>
      <c r="G114" s="64"/>
      <c r="H114" s="65"/>
      <c r="I114" s="64"/>
      <c r="J114" s="63"/>
      <c r="K114" s="56"/>
      <c r="L114" s="56"/>
      <c r="M114" s="55"/>
    </row>
    <row r="115" spans="1:13" s="45" customFormat="1" ht="15" customHeight="1" x14ac:dyDescent="0.3">
      <c r="A115" s="46" t="s">
        <v>8</v>
      </c>
      <c r="B115" s="62"/>
      <c r="D115" s="67"/>
      <c r="E115" s="66"/>
      <c r="F115" s="65"/>
      <c r="G115" s="64"/>
      <c r="H115" s="65"/>
      <c r="I115" s="64"/>
      <c r="J115" s="63"/>
      <c r="K115" s="56"/>
      <c r="L115" s="56"/>
      <c r="M115" s="55"/>
    </row>
    <row r="116" spans="1:13" s="45" customFormat="1" ht="15" customHeight="1" thickBot="1" x14ac:dyDescent="0.35">
      <c r="A116" s="46"/>
      <c r="B116" s="62"/>
      <c r="D116" s="61"/>
      <c r="E116" s="60"/>
      <c r="F116" s="59"/>
      <c r="G116" s="58"/>
      <c r="H116" s="59"/>
      <c r="I116" s="58"/>
      <c r="J116" s="57"/>
      <c r="K116" s="56"/>
      <c r="L116" s="56"/>
      <c r="M116" s="55"/>
    </row>
    <row r="117" spans="1:13" s="25" customFormat="1" ht="15" customHeight="1" thickBot="1" x14ac:dyDescent="0.35">
      <c r="B117" s="43" t="s">
        <v>7</v>
      </c>
      <c r="C117" s="42"/>
      <c r="D117" s="41"/>
      <c r="E117" s="40"/>
      <c r="F117" s="38">
        <f>SUM(F112:F116)</f>
        <v>0</v>
      </c>
      <c r="G117" s="39">
        <f>SUM(G112:G116)</f>
        <v>0</v>
      </c>
      <c r="H117" s="38">
        <f>SUM(H112:H116)</f>
        <v>0</v>
      </c>
      <c r="I117" s="39">
        <f>SUM(I112:I116)</f>
        <v>0</v>
      </c>
      <c r="J117" s="54">
        <f>((H117/$G$8)+(I117))</f>
        <v>0</v>
      </c>
      <c r="K117" s="35"/>
      <c r="L117" s="35"/>
      <c r="M117" s="34"/>
    </row>
    <row r="118" spans="1:13" s="45" customFormat="1" ht="5.0999999999999996" customHeight="1" thickBot="1" x14ac:dyDescent="0.35">
      <c r="A118" s="53"/>
      <c r="B118" s="52"/>
      <c r="C118" s="51"/>
      <c r="D118" s="50"/>
      <c r="E118" s="49"/>
      <c r="F118" s="48"/>
      <c r="G118" s="47"/>
      <c r="H118" s="48"/>
      <c r="I118" s="47"/>
      <c r="J118" s="47"/>
      <c r="K118" s="46"/>
      <c r="L118" s="46"/>
    </row>
    <row r="119" spans="1:13" s="25" customFormat="1" ht="25.2" customHeight="1" thickBot="1" x14ac:dyDescent="0.35">
      <c r="A119" s="44"/>
      <c r="B119" s="43" t="s">
        <v>6</v>
      </c>
      <c r="C119" s="42"/>
      <c r="D119" s="41"/>
      <c r="E119" s="40"/>
      <c r="F119" s="38"/>
      <c r="G119" s="39"/>
      <c r="H119" s="38">
        <f>H39+H56+H94+H101+H108+H117</f>
        <v>8027744.666666667</v>
      </c>
      <c r="I119" s="37">
        <f>I39+I56+I94+I101+I108+I117</f>
        <v>360</v>
      </c>
      <c r="J119" s="36">
        <f>((H119/$G$8)+(I119))</f>
        <v>877.91901075268822</v>
      </c>
      <c r="K119" s="35"/>
      <c r="L119" s="35"/>
      <c r="M119" s="34"/>
    </row>
    <row r="120" spans="1:13" s="25" customFormat="1" ht="15" customHeight="1" thickBot="1" x14ac:dyDescent="0.35">
      <c r="A120" s="33"/>
      <c r="B120" s="32"/>
      <c r="C120" s="31"/>
      <c r="D120" s="30"/>
      <c r="E120" s="29"/>
      <c r="F120" s="28"/>
      <c r="G120" s="27"/>
      <c r="H120" s="28"/>
      <c r="I120" s="27"/>
      <c r="J120" s="27"/>
      <c r="L120" s="26"/>
    </row>
    <row r="121" spans="1:13" ht="30" customHeight="1" thickBot="1" x14ac:dyDescent="0.35">
      <c r="B121" s="24" t="s">
        <v>5</v>
      </c>
      <c r="C121" s="23"/>
      <c r="D121" s="22"/>
      <c r="E121" s="21"/>
      <c r="F121" s="211"/>
      <c r="G121" s="211"/>
      <c r="H121" s="20" t="e">
        <f>#REF!+H119</f>
        <v>#REF!</v>
      </c>
      <c r="I121" s="19" t="e">
        <f>#REF!+I119</f>
        <v>#REF!</v>
      </c>
      <c r="J121" s="18" t="e">
        <f>((H121/$G$8)+(I121))</f>
        <v>#REF!</v>
      </c>
      <c r="K121" s="16"/>
      <c r="L121" s="17"/>
      <c r="M121" s="16"/>
    </row>
    <row r="122" spans="1:13" ht="15" customHeight="1" x14ac:dyDescent="0.3"/>
    <row r="123" spans="1:13" ht="15" customHeight="1" x14ac:dyDescent="0.3"/>
    <row r="124" spans="1:13" ht="15" customHeight="1" x14ac:dyDescent="0.3">
      <c r="I124" s="15" t="s">
        <v>4</v>
      </c>
      <c r="J124" s="14">
        <v>88</v>
      </c>
    </row>
    <row r="125" spans="1:13" ht="15" customHeight="1" x14ac:dyDescent="0.3">
      <c r="I125" s="206">
        <f>J124*G8</f>
        <v>1364000</v>
      </c>
      <c r="J125" s="207"/>
    </row>
    <row r="126" spans="1:13" s="6" customFormat="1" ht="15" customHeight="1" x14ac:dyDescent="0.3">
      <c r="B126" s="1"/>
      <c r="C126" s="1"/>
      <c r="D126" s="5"/>
      <c r="E126" s="4"/>
      <c r="F126" s="3"/>
      <c r="G126" s="2"/>
      <c r="H126" s="10" t="s">
        <v>3</v>
      </c>
      <c r="I126" s="9">
        <f>I125</f>
        <v>1364000</v>
      </c>
      <c r="J126" s="7">
        <f>I126/G8</f>
        <v>88</v>
      </c>
    </row>
    <row r="127" spans="1:13" s="6" customFormat="1" ht="15" customHeight="1" x14ac:dyDescent="0.3">
      <c r="B127" s="1"/>
      <c r="C127" s="1"/>
      <c r="D127" s="5"/>
      <c r="E127" s="4"/>
      <c r="F127" s="3"/>
      <c r="G127" s="2"/>
      <c r="H127" s="10" t="s">
        <v>2</v>
      </c>
      <c r="I127" s="9">
        <f>H119</f>
        <v>8027744.666666667</v>
      </c>
      <c r="J127" s="7">
        <f>I127/G8</f>
        <v>517.91901075268822</v>
      </c>
    </row>
    <row r="128" spans="1:13" s="6" customFormat="1" ht="15" customHeight="1" x14ac:dyDescent="0.3">
      <c r="B128" s="1"/>
      <c r="C128" s="1"/>
      <c r="D128" s="5"/>
      <c r="E128" s="4"/>
      <c r="F128" s="3"/>
      <c r="G128" s="2"/>
      <c r="H128" s="10" t="s">
        <v>1</v>
      </c>
      <c r="I128" s="9">
        <f>I119*G8</f>
        <v>5580000</v>
      </c>
      <c r="J128" s="7">
        <f>I128/G8</f>
        <v>360</v>
      </c>
    </row>
    <row r="129" spans="2:10" s="6" customFormat="1" ht="15" customHeight="1" x14ac:dyDescent="0.3">
      <c r="B129" s="1"/>
      <c r="C129" s="1"/>
      <c r="D129" s="5"/>
      <c r="E129" s="4"/>
      <c r="F129" s="3"/>
      <c r="G129" s="2"/>
      <c r="H129" s="3"/>
      <c r="I129" s="9">
        <f>SUM(I126:I128)</f>
        <v>14971744.666666668</v>
      </c>
      <c r="J129" s="7">
        <f>SUM(J126:J128)</f>
        <v>965.91901075268822</v>
      </c>
    </row>
    <row r="130" spans="2:10" s="6" customFormat="1" ht="15" customHeight="1" x14ac:dyDescent="0.3">
      <c r="B130" s="1"/>
      <c r="C130" s="1"/>
      <c r="D130" s="5"/>
      <c r="E130" s="4"/>
      <c r="F130" s="3"/>
      <c r="G130" s="2"/>
      <c r="H130" s="3"/>
      <c r="I130" s="13">
        <f>I129*1.11</f>
        <v>16618636.580000002</v>
      </c>
      <c r="J130" s="2"/>
    </row>
    <row r="131" spans="2:10" s="6" customFormat="1" ht="15" customHeight="1" x14ac:dyDescent="0.3">
      <c r="B131" s="1"/>
      <c r="C131" s="12"/>
      <c r="D131" s="5"/>
      <c r="E131" s="4"/>
      <c r="F131" s="3"/>
      <c r="G131" s="2"/>
      <c r="H131" s="3"/>
      <c r="I131" s="2"/>
      <c r="J131" s="2"/>
    </row>
    <row r="132" spans="2:10" s="6" customFormat="1" ht="15" customHeight="1" x14ac:dyDescent="0.3">
      <c r="B132" s="1"/>
      <c r="C132" s="11"/>
      <c r="D132" s="5"/>
      <c r="E132" s="4"/>
      <c r="F132" s="3"/>
      <c r="G132" s="2"/>
      <c r="H132" s="10" t="s">
        <v>0</v>
      </c>
      <c r="I132" s="9">
        <f>H24+H25+H28+H29+H30+H36+H48+H49+H50+H51+H52+H53+H54+H65+H66+H67+H69+H70+H77+H78+H79+H80+H81+H82+H83+H84+H85+H86+H87+H88+H89+H90+H91+H92+H19</f>
        <v>1153744.6666666665</v>
      </c>
      <c r="J132" s="8"/>
    </row>
    <row r="133" spans="2:10" s="6" customFormat="1" ht="15" customHeight="1" x14ac:dyDescent="0.3">
      <c r="B133" s="1"/>
      <c r="C133" s="1"/>
      <c r="D133" s="5"/>
      <c r="E133" s="4"/>
      <c r="F133" s="3"/>
      <c r="G133" s="2"/>
      <c r="H133" s="3"/>
      <c r="I133" s="7">
        <f>I132/G8</f>
        <v>74.43513978494623</v>
      </c>
      <c r="J133" s="2"/>
    </row>
    <row r="134" spans="2:10" s="6" customFormat="1" ht="15" customHeight="1" x14ac:dyDescent="0.3">
      <c r="B134" s="1"/>
      <c r="C134" s="1"/>
      <c r="D134" s="5"/>
      <c r="E134" s="4"/>
      <c r="F134" s="3"/>
      <c r="G134" s="2"/>
      <c r="H134" s="3"/>
      <c r="I134" s="2"/>
      <c r="J134" s="2"/>
    </row>
    <row r="135" spans="2:10" s="6" customFormat="1" ht="15" customHeight="1" x14ac:dyDescent="0.3">
      <c r="B135" s="1"/>
      <c r="C135" s="1"/>
      <c r="D135" s="5"/>
      <c r="E135" s="4"/>
      <c r="F135" s="3"/>
      <c r="G135" s="2"/>
      <c r="H135" s="3"/>
      <c r="I135" s="2"/>
      <c r="J135" s="2"/>
    </row>
    <row r="136" spans="2:10" s="6" customFormat="1" ht="15" customHeight="1" x14ac:dyDescent="0.3">
      <c r="B136" s="1"/>
      <c r="C136" s="1"/>
      <c r="D136" s="5"/>
      <c r="E136" s="4"/>
      <c r="F136" s="3"/>
      <c r="G136" s="2"/>
      <c r="H136" s="3"/>
      <c r="I136" s="2"/>
      <c r="J136" s="2"/>
    </row>
    <row r="137" spans="2:10" s="6" customFormat="1" ht="15" customHeight="1" x14ac:dyDescent="0.3">
      <c r="B137" s="1"/>
      <c r="C137" s="1"/>
      <c r="D137" s="5"/>
      <c r="E137" s="4"/>
      <c r="F137" s="3"/>
      <c r="G137" s="2"/>
      <c r="H137" s="3"/>
      <c r="I137" s="2"/>
      <c r="J137" s="2"/>
    </row>
    <row r="138" spans="2:10" s="6" customFormat="1" ht="15" customHeight="1" x14ac:dyDescent="0.3">
      <c r="B138" s="1"/>
      <c r="C138" s="1"/>
      <c r="D138" s="5"/>
      <c r="E138" s="4"/>
      <c r="F138" s="3"/>
      <c r="G138" s="2"/>
      <c r="H138" s="3"/>
      <c r="I138" s="2"/>
      <c r="J138" s="2"/>
    </row>
    <row r="139" spans="2:10" s="6" customFormat="1" ht="15" customHeight="1" x14ac:dyDescent="0.3">
      <c r="B139" s="1"/>
      <c r="C139" s="1"/>
      <c r="D139" s="5"/>
      <c r="E139" s="4"/>
      <c r="F139" s="3"/>
      <c r="G139" s="2"/>
      <c r="H139" s="3"/>
      <c r="I139" s="2"/>
      <c r="J139" s="2"/>
    </row>
    <row r="140" spans="2:10" s="6" customFormat="1" ht="15" customHeight="1" x14ac:dyDescent="0.3">
      <c r="B140" s="1"/>
      <c r="C140" s="1"/>
      <c r="D140" s="5"/>
      <c r="E140" s="4"/>
      <c r="F140" s="3"/>
      <c r="G140" s="2"/>
      <c r="H140" s="3"/>
      <c r="I140" s="2"/>
      <c r="J140" s="2"/>
    </row>
    <row r="141" spans="2:10" s="6" customFormat="1" ht="15" customHeight="1" x14ac:dyDescent="0.3">
      <c r="B141" s="1"/>
      <c r="C141" s="1"/>
      <c r="D141" s="5"/>
      <c r="E141" s="4"/>
      <c r="F141" s="3"/>
      <c r="G141" s="2"/>
      <c r="H141" s="3"/>
      <c r="I141" s="2"/>
      <c r="J141" s="2"/>
    </row>
    <row r="142" spans="2:10" s="6" customFormat="1" ht="15" customHeight="1" x14ac:dyDescent="0.3">
      <c r="B142" s="1"/>
      <c r="C142" s="1"/>
      <c r="D142" s="5"/>
      <c r="E142" s="4"/>
      <c r="F142" s="3"/>
      <c r="G142" s="2"/>
      <c r="H142" s="3"/>
      <c r="I142" s="2"/>
      <c r="J142" s="2"/>
    </row>
    <row r="143" spans="2:10" s="6" customFormat="1" ht="15" customHeight="1" x14ac:dyDescent="0.3">
      <c r="B143" s="1"/>
      <c r="C143" s="1"/>
      <c r="D143" s="5"/>
      <c r="E143" s="4"/>
      <c r="F143" s="3"/>
      <c r="G143" s="2"/>
      <c r="H143" s="3"/>
      <c r="I143" s="2"/>
      <c r="J143" s="2"/>
    </row>
  </sheetData>
  <mergeCells count="31">
    <mergeCell ref="M87:M90"/>
    <mergeCell ref="M91:M92"/>
    <mergeCell ref="L78:L80"/>
    <mergeCell ref="M78:M80"/>
    <mergeCell ref="K82:K83"/>
    <mergeCell ref="L82:L83"/>
    <mergeCell ref="M82:M83"/>
    <mergeCell ref="K84:K85"/>
    <mergeCell ref="L84:L85"/>
    <mergeCell ref="M84:M85"/>
    <mergeCell ref="L33:L34"/>
    <mergeCell ref="M33:M34"/>
    <mergeCell ref="L15:L23"/>
    <mergeCell ref="K49:K50"/>
    <mergeCell ref="L49:L50"/>
    <mergeCell ref="M49:M50"/>
    <mergeCell ref="J15:J18"/>
    <mergeCell ref="J20:J23"/>
    <mergeCell ref="H20:H23"/>
    <mergeCell ref="K15:K23"/>
    <mergeCell ref="K33:K34"/>
    <mergeCell ref="I125:J125"/>
    <mergeCell ref="B59:C59"/>
    <mergeCell ref="B75:C75"/>
    <mergeCell ref="F121:G121"/>
    <mergeCell ref="K78:K80"/>
    <mergeCell ref="A2:C2"/>
    <mergeCell ref="F15:F18"/>
    <mergeCell ref="G15:G18"/>
    <mergeCell ref="H15:H18"/>
    <mergeCell ref="I15:I1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4FAE3-C95F-43F6-B370-A33DB89248C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RTGS Ka-band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Rizky Guntur</dc:creator>
  <cp:lastModifiedBy>Muhammad Rizky Guntur</cp:lastModifiedBy>
  <dcterms:created xsi:type="dcterms:W3CDTF">2023-11-14T01:22:24Z</dcterms:created>
  <dcterms:modified xsi:type="dcterms:W3CDTF">2025-03-17T07:10:59Z</dcterms:modified>
</cp:coreProperties>
</file>