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codeName="ThisWorkbook" defaultThemeVersion="124226"/>
  <mc:AlternateContent xmlns:mc="http://schemas.openxmlformats.org/markup-compatibility/2006">
    <mc:Choice Requires="x15">
      <x15ac:absPath xmlns:x15ac="http://schemas.microsoft.com/office/spreadsheetml/2010/11/ac" url="F:\projects\wow-classic-macro\"/>
    </mc:Choice>
  </mc:AlternateContent>
  <xr:revisionPtr revIDLastSave="0" documentId="13_ncr:1_{456ECA72-404A-44D9-8FA8-088A98882D04}" xr6:coauthVersionLast="43" xr6:coauthVersionMax="43" xr10:uidLastSave="{00000000-0000-0000-0000-000000000000}"/>
  <bookViews>
    <workbookView xWindow="-120" yWindow="-120" windowWidth="29040" windowHeight="15840" tabRatio="753" activeTab="5" xr2:uid="{00000000-000D-0000-FFFF-FFFF00000000}"/>
  </bookViews>
  <sheets>
    <sheet name="User Guide" sheetId="19" r:id="rId1"/>
    <sheet name="Jom Gabbar" sheetId="30" state="hidden" r:id="rId2"/>
    <sheet name="Badge of the Swarmguard" sheetId="29" state="hidden" r:id="rId3"/>
    <sheet name="StartingStats" sheetId="4" state="hidden" r:id="rId4"/>
    <sheet name="Changelog" sheetId="27" r:id="rId5"/>
    <sheet name="DPS" sheetId="1" r:id="rId6"/>
    <sheet name="Calcs" sheetId="21" state="hidden" r:id="rId7"/>
    <sheet name="Item Tables" sheetId="31" r:id="rId8"/>
    <sheet name="Rotation Analysis" sheetId="32" r:id="rId9"/>
    <sheet name="Server Specific" sheetId="33" r:id="rId10"/>
    <sheet name="Enchants" sheetId="5" state="hidden" r:id="rId11"/>
  </sheets>
  <definedNames>
    <definedName name="ARCap">Calcs!$B$80</definedName>
    <definedName name="BackEnchantList">Enchants!$A$30:$A$33</definedName>
    <definedName name="BackEnchantStats">Enchants!$A$30:$G$33</definedName>
    <definedName name="BackList">'Item Tables'!$A$80:$A$103</definedName>
    <definedName name="BackStats">'Item Tables'!$A$80:$M$103</definedName>
    <definedName name="Base2HDamage">Calcs!$G$20</definedName>
    <definedName name="Base2HSpeed">Calcs!$G$21</definedName>
    <definedName name="BaseDamage">Calcs!$E$24</definedName>
    <definedName name="BaseMHDamage">Calcs!$E$20</definedName>
    <definedName name="BaseMHSpeed">Calcs!$E$21</definedName>
    <definedName name="BaseMiss">Calcs!$B$63</definedName>
    <definedName name="BaseOHDamage">Calcs!$F$20</definedName>
    <definedName name="BaseOHMiss">Calcs!$B$64</definedName>
    <definedName name="BaseOHSpeed">Calcs!$F$21</definedName>
    <definedName name="BaseSpeed">Calcs!$E$25</definedName>
    <definedName name="BloodFury">Calcs!$B$87</definedName>
    <definedName name="BloodFury20">Calcs!$B$88</definedName>
    <definedName name="BossArmor">DPS!$P$70</definedName>
    <definedName name="BossArmor20">Calcs!$B$65</definedName>
    <definedName name="BotS">Calcs!$B$84</definedName>
    <definedName name="BRE">Calcs!$B$82</definedName>
    <definedName name="BREArmorReduction20">Calcs!$B$66</definedName>
    <definedName name="BREBoTS">Calcs!$B$83</definedName>
    <definedName name="BTCD">DPS!$L$41</definedName>
    <definedName name="BTCrits">Calcs!$E$13</definedName>
    <definedName name="BTHitMod">Calcs!$B$71</definedName>
    <definedName name="BTHits">Calcs!$E$12</definedName>
    <definedName name="ChestEnchantList">Enchants!$A$65:$A$68</definedName>
    <definedName name="ChestEnchantStats">Enchants!$A$65:$G$68</definedName>
    <definedName name="ChestList">'Item Tables'!$A$109:$A$134</definedName>
    <definedName name="ChestStats">'Item Tables'!$A$109:$M$134</definedName>
    <definedName name="CleaveCD">DPS!$L$45</definedName>
    <definedName name="CritCap">DPS!$E$41</definedName>
    <definedName name="Cruelty">DPS!$K$65</definedName>
    <definedName name="CrusaderMH20">Calcs!$B$50</definedName>
    <definedName name="CrusaderOH20">Calcs!$B$51</definedName>
    <definedName name="Deathwish">DPS!$K$76</definedName>
    <definedName name="DeathWishMod">Calcs!$B$79</definedName>
    <definedName name="DWWeaponList">'Item Tables'!$O$6:$O$129</definedName>
    <definedName name="DWWeaponStats">'Item Tables'!$O$6:$AH$129</definedName>
    <definedName name="EnemyLevel">DPS!$M$56</definedName>
    <definedName name="ExeCD">DPS!$L$49</definedName>
    <definedName name="ExeRage">Calcs!$B$47</definedName>
    <definedName name="FeetEnchantList">Enchants!$A$41:$A$44</definedName>
    <definedName name="FeetEnchantStats">Enchants!$A$41:$G$44</definedName>
    <definedName name="FeetList">'Item Tables'!$A$252:$A$275</definedName>
    <definedName name="FeetStats">'Item Tables'!$A$252:$M$275</definedName>
    <definedName name="Felstriker">Calcs!$B$75</definedName>
    <definedName name="Felstriker20">Calcs!$B$76</definedName>
    <definedName name="FightDuration">DPS!$M$55</definedName>
    <definedName name="Final2HSpeed">Calcs!$G$22</definedName>
    <definedName name="FinalMHSpeed">Calcs!$E$22</definedName>
    <definedName name="FinalOHSpeed">Calcs!$F$22</definedName>
    <definedName name="FinalOHSpeed20">Calcs!$E$29</definedName>
    <definedName name="FinalSpeed">Calcs!$E$27</definedName>
    <definedName name="FinalSpeed20">Calcs!$E$28</definedName>
    <definedName name="Flurry">DPS!$K$79</definedName>
    <definedName name="FlurryUptime">DPS!$P$63</definedName>
    <definedName name="FlurryUptime20">DPS!$Q$63</definedName>
    <definedName name="FSCrits">Calcs!$H$4</definedName>
    <definedName name="FSGlancing">Calcs!$H$5</definedName>
    <definedName name="FSOHCrits">Calcs!$K$4</definedName>
    <definedName name="FSOHGlancing">Calcs!$K$5</definedName>
    <definedName name="FSYellowCrits">Calcs!$K$13</definedName>
    <definedName name="HamstringCD">DPS!$L$48</definedName>
    <definedName name="HandEnchantList">Enchants!$A$18:$A$22</definedName>
    <definedName name="HandEnchantStats">Enchants!$A$18:$G$22</definedName>
    <definedName name="HandList">'Item Tables'!$A$167:$A$186</definedName>
    <definedName name="HandStats">'Item Tables'!$A$167:$M$186</definedName>
    <definedName name="HeadEnchantList">Enchants!$A$2:$A$7</definedName>
    <definedName name="HeadEnchantStats">Enchants!$A$2:$G$7</definedName>
    <definedName name="HeadList">'Item Tables'!$A$6:$A$24</definedName>
    <definedName name="HeadStats">'Item Tables'!$A$6:$M$24</definedName>
    <definedName name="HoJConnects">Calcs!$B$33</definedName>
    <definedName name="HoJConnects20">Calcs!$C$33</definedName>
    <definedName name="HoJSwings">Calcs!$B$25</definedName>
    <definedName name="HoJSwings20">Calcs!$C$25</definedName>
    <definedName name="HSCD">DPS!$L$44</definedName>
    <definedName name="Impale">DPS!$I$74</definedName>
    <definedName name="ImpBS">DPS!$K$71</definedName>
    <definedName name="ImpCleave">DPS!$K$68</definedName>
    <definedName name="ImpDW">DPS!$K$72</definedName>
    <definedName name="ImpExe">DPS!$K$73</definedName>
    <definedName name="ImpOP">DPS!$I$70</definedName>
    <definedName name="ImpSlam">DPS!$K$75</definedName>
    <definedName name="IronfoeConnects">Calcs!$B$35</definedName>
    <definedName name="IronfoeConnects20">Calcs!$C$35</definedName>
    <definedName name="IronfoeSwings">Calcs!$B$27</definedName>
    <definedName name="IronfoeSwings20">Calcs!$C$27</definedName>
    <definedName name="JujuFlurry">Calcs!$B$77</definedName>
    <definedName name="KotS">Calcs!$B$89</definedName>
    <definedName name="LegEnchantList">Enchants!$A$10:$A$15</definedName>
    <definedName name="LegEnchantStats">Enchants!$A$10:$H$15</definedName>
    <definedName name="LegsEnchantList">Enchants!$A$10:$A$15</definedName>
    <definedName name="LegsEnchantStats">Enchants!$A$10:$G$15</definedName>
    <definedName name="LegsList">'Item Tables'!$A$219:$A$244</definedName>
    <definedName name="LegsStats">'Item Tables'!$A$219:$M$244</definedName>
    <definedName name="MHConnects">Calcs!$B$29</definedName>
    <definedName name="MHConnects20">Calcs!$C$29</definedName>
    <definedName name="MHEnchantDPS">DPS!$Q$28</definedName>
    <definedName name="MHEnchantDPS20">Calcs!$B$57</definedName>
    <definedName name="MHGlancingMod">Calcs!$E$31</definedName>
    <definedName name="MHSwings">Calcs!$B$23</definedName>
    <definedName name="MHSwings20">Calcs!$C$23</definedName>
    <definedName name="MHWeaponEnchantList">Enchants!$A$47:$A$53</definedName>
    <definedName name="MHWeaponEnchantStats">Enchants!$A$47:$I$53</definedName>
    <definedName name="MHWeaponProcDPS">DPS!$Q$27</definedName>
    <definedName name="MHWeaponProcDPS20">Calcs!$B$52</definedName>
    <definedName name="MightyRagePot">Calcs!$B$78</definedName>
    <definedName name="MobMitigation">DPS!$P$71</definedName>
    <definedName name="MobMitigation20">Calcs!$B$68</definedName>
    <definedName name="MSCD">DPS!$L$42</definedName>
    <definedName name="NeckList">'Item Tables'!$A$30:$A$47</definedName>
    <definedName name="NeckStats">'Item Tables'!$A$30:$M$47</definedName>
    <definedName name="NetAC">DPS!$P$47</definedName>
    <definedName name="NetAP">DPS!$P$44</definedName>
    <definedName name="NetAP20">Calcs!$B$49</definedName>
    <definedName name="NetCrit">DPS!$P$41</definedName>
    <definedName name="NetHaste">DPS!$P$45</definedName>
    <definedName name="NetHaste20">Calcs!$B$60</definedName>
    <definedName name="NetHit">DPS!$P$42</definedName>
    <definedName name="NetHP">DPS!$P$46</definedName>
    <definedName name="NetOHCrit">DPS!$Q$41</definedName>
    <definedName name="NetOHHit">DPS!$Q$42</definedName>
    <definedName name="NetStr20">Calcs!$B$48</definedName>
    <definedName name="Normalize">Calcs!$E$26</definedName>
    <definedName name="OHEnchantDPS">DPS!$Q$30</definedName>
    <definedName name="OHEnchantDPS20">Calcs!$B$58</definedName>
    <definedName name="OHGlancingMod">Calcs!$E$32</definedName>
    <definedName name="OHWeaponEnchantList">Enchants!$A$56:$A$62</definedName>
    <definedName name="OHWeaponEnchantStats">Enchants!$A$56:$I$62</definedName>
    <definedName name="OHWeaponProcDPS">DPS!$Q$29</definedName>
    <definedName name="OHWeaponProcDPS20">Calcs!$B$53</definedName>
    <definedName name="OneHSpec">DPS!$M$79</definedName>
    <definedName name="OPCrits">Calcs!$H$13</definedName>
    <definedName name="OPDodges">Calcs!$H$15</definedName>
    <definedName name="OPHitMod">Calcs!$B$72</definedName>
    <definedName name="OPHits">Calcs!$H$12</definedName>
    <definedName name="OverpowerCD">DPS!$L$47</definedName>
    <definedName name="Patch">'Server Specific'!$C$7</definedName>
    <definedName name="ProcChance">'Server Specific'!$E$4:$H$45</definedName>
    <definedName name="RagePHMH">Calcs!$B$38</definedName>
    <definedName name="RagePHOH">Calcs!$C$38</definedName>
    <definedName name="RagePS">DPS!$P$67</definedName>
    <definedName name="RagePS20">DPS!$Q$67</definedName>
    <definedName name="RagePSMH">Calcs!$B$38</definedName>
    <definedName name="RagePSOH">Calcs!$C$38</definedName>
    <definedName name="RangedList">'Item Tables'!$O$219:$O$261</definedName>
    <definedName name="RangedStats">'Item Tables'!$O$219:$AA$261</definedName>
    <definedName name="Realm">DPS!$C$2</definedName>
    <definedName name="RingList">'Item Tables'!$A$280:$A$308</definedName>
    <definedName name="RingStats">'Item Tables'!$A$280:$M$308</definedName>
    <definedName name="ShoulderEnchantList">Enchants!$A$25:$A$27</definedName>
    <definedName name="ShoulderEnchantStats">Enchants!$A$25:$G$27</definedName>
    <definedName name="ShoulderList">'Item Tables'!$A$54:$A$73</definedName>
    <definedName name="ShoulderStats">'Item Tables'!$A$54:$M$73</definedName>
    <definedName name="SkillDiffMH">Calcs!$B$61</definedName>
    <definedName name="SkillDiffOH">Calcs!$B$62</definedName>
    <definedName name="SlamCD">DPS!$L$43</definedName>
    <definedName name="Spell_Crit">DPS!$P$48</definedName>
    <definedName name="SSConnects">Calcs!$B$34</definedName>
    <definedName name="SSConnects20">Calcs!$C$34</definedName>
    <definedName name="SSDPS">DPS!$P$65</definedName>
    <definedName name="SSDPS20">DPS!$Q$65</definedName>
    <definedName name="SSSwings">Calcs!$B$26</definedName>
    <definedName name="SSSwings20">Calcs!$C$26</definedName>
    <definedName name="StartingStatsList">StartingStats!$A$2:$G$9</definedName>
    <definedName name="StartingStatsRaces">StartingStats!$A$2:$A$9</definedName>
    <definedName name="SwordSpec">DPS!$I$78</definedName>
    <definedName name="THEnchantDPS">DPS!$Q$32</definedName>
    <definedName name="THEnchantDPS20">Calcs!$B$59</definedName>
    <definedName name="THSpec">DPS!$I$73</definedName>
    <definedName name="THWeaponList">'Item Tables'!$O$135:$O$213</definedName>
    <definedName name="THWeaponProcDPS">DPS!$Q$31</definedName>
    <definedName name="THWeaponProcDPS20">Calcs!$B$56</definedName>
    <definedName name="THWeaponStats">'Item Tables'!$O$135:$AF$213</definedName>
    <definedName name="TotalDPS">DPS!$C$41</definedName>
    <definedName name="Toughness">DPS!$M$67</definedName>
    <definedName name="Trinket1DPS">DPS!$Q$25</definedName>
    <definedName name="Trinket1DPS20">Calcs!$B$54</definedName>
    <definedName name="Trinket2DPS">DPS!$Q$26</definedName>
    <definedName name="Trinket2DPS20">Calcs!$B$55</definedName>
    <definedName name="TrinketDPS">DPS!$Q$25:$Q$26</definedName>
    <definedName name="TrinketList">'Item Tables'!$A$315:$A$330</definedName>
    <definedName name="TrinketStats">'Item Tables'!$A$315:$M$330</definedName>
    <definedName name="UnbridledWrath">DPS!$K$67</definedName>
    <definedName name="WaistList">'Item Tables'!$A$193:$A$213</definedName>
    <definedName name="WaistStats">'Item Tables'!$A$193:$M$213</definedName>
    <definedName name="WeaponSkillMH">DPS!$P$43</definedName>
    <definedName name="WeaponSkillOH">DPS!$Q$43</definedName>
    <definedName name="WhiteBlocks">Calcs!$B$8</definedName>
    <definedName name="WhiteCrits">Calcs!$B$4</definedName>
    <definedName name="WhiteDodges">Calcs!$B$7</definedName>
    <definedName name="WhiteDPS">DPS!$P$66</definedName>
    <definedName name="WhiteDPS20">DPS!$Q$66</definedName>
    <definedName name="WhiteGlancingBlows">Calcs!$B$5</definedName>
    <definedName name="WhiteHitMod">DPS!$P$73</definedName>
    <definedName name="WhiteHitMod20">Calcs!$B$69</definedName>
    <definedName name="WhiteHits">Calcs!$B$3</definedName>
    <definedName name="WhiteMHConnects">Calcs!$B$28</definedName>
    <definedName name="WhiteMHConnects20">Calcs!$C$28</definedName>
    <definedName name="WhiteMHSwings">Calcs!$B$20</definedName>
    <definedName name="WhiteMHSwings20">Calcs!$C$20</definedName>
    <definedName name="WhiteMisses">Calcs!$B$2</definedName>
    <definedName name="WhiteOHConnects">Calcs!$B$31</definedName>
    <definedName name="WhiteOHConnects20">Calcs!$C$31</definedName>
    <definedName name="WhiteOHCrits">Calcs!$E$4</definedName>
    <definedName name="WhiteOHDodges">Calcs!$E$7</definedName>
    <definedName name="WhiteOHGlancing">Calcs!$E$5</definedName>
    <definedName name="WhiteOHHitMod">DPS!$Q$73</definedName>
    <definedName name="WhiteOHHitMod20">Calcs!$B$74</definedName>
    <definedName name="WhiteOHHits">Calcs!$E$3</definedName>
    <definedName name="WhiteOHMisses">Calcs!$E$2</definedName>
    <definedName name="WhiteOHSwings">Calcs!$B$22</definedName>
    <definedName name="WhiteOHSwings20">Calcs!$C$22</definedName>
    <definedName name="WhiteParries">Calcs!$B$6</definedName>
    <definedName name="WindfuryConnects">Calcs!$B$32</definedName>
    <definedName name="WindfuryConnects20">Calcs!$C$32</definedName>
    <definedName name="WindfuryDPS">DPS!$P$64</definedName>
    <definedName name="WindfuryDPS20">DPS!$Q$64</definedName>
    <definedName name="WindfurySwings">Calcs!$B$24</definedName>
    <definedName name="WindfurySwings20">Calcs!$C$24</definedName>
    <definedName name="WristEnchantList">Enchants!$A$36:$A$38</definedName>
    <definedName name="WristEnchantStats">Enchants!$A$36:$G$38</definedName>
    <definedName name="WristList">'Item Tables'!$A$141:$A$160</definedName>
    <definedName name="WristStats">'Item Tables'!$A$141:$M$160</definedName>
    <definedName name="WWCD">DPS!$L$46</definedName>
    <definedName name="YellowConnects">Calcs!$B$30</definedName>
    <definedName name="YellowConnects20">Calcs!$C$30</definedName>
    <definedName name="YellowCrits">Calcs!$B$13</definedName>
    <definedName name="YellowDodges">Calcs!$B$15</definedName>
    <definedName name="YellowHitMod">DPS!$P$74</definedName>
    <definedName name="YellowHitMod20">Calcs!$B$67</definedName>
    <definedName name="YellowHits">Calcs!$B$12</definedName>
    <definedName name="YellowMisses">Calcs!$B$11</definedName>
    <definedName name="YellowSwings">Calcs!$B$21</definedName>
    <definedName name="YellowSwings20">Calcs!$C$21</definedName>
  </definedNames>
  <calcPr calcId="191029" iterate="1" calcOnSave="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1" i="33" l="1"/>
  <c r="K48" i="1"/>
  <c r="B80" i="21" l="1"/>
  <c r="B23" i="30" l="1"/>
  <c r="B24" i="30"/>
  <c r="B25" i="30"/>
  <c r="B26" i="30"/>
  <c r="B27" i="30"/>
  <c r="B28" i="30"/>
  <c r="B29" i="30"/>
  <c r="B30" i="30"/>
  <c r="B31" i="30"/>
  <c r="B32" i="30"/>
  <c r="B33" i="30"/>
  <c r="B34" i="30"/>
  <c r="B35" i="30"/>
  <c r="B36" i="30"/>
  <c r="B37" i="30"/>
  <c r="B38" i="30"/>
  <c r="B39" i="30"/>
  <c r="B40" i="30"/>
  <c r="B41" i="30"/>
  <c r="B42" i="30"/>
  <c r="B43" i="30"/>
  <c r="B44" i="30"/>
  <c r="B45" i="30"/>
  <c r="B46" i="30"/>
  <c r="B47" i="30"/>
  <c r="B48" i="30"/>
  <c r="B49" i="30"/>
  <c r="B50" i="30"/>
  <c r="B51" i="30"/>
  <c r="B52" i="30"/>
  <c r="B53" i="30"/>
  <c r="B54" i="30"/>
  <c r="B55" i="30"/>
  <c r="B56" i="30"/>
  <c r="B57" i="30"/>
  <c r="B58" i="30"/>
  <c r="B59" i="30"/>
  <c r="B60" i="30"/>
  <c r="B61" i="30"/>
  <c r="B62" i="30"/>
  <c r="B63" i="30"/>
  <c r="B64" i="30"/>
  <c r="B65" i="30"/>
  <c r="B66" i="30"/>
  <c r="B67" i="30"/>
  <c r="B68" i="30"/>
  <c r="B69" i="30"/>
  <c r="B70" i="30"/>
  <c r="B71" i="30"/>
  <c r="B72" i="30"/>
  <c r="B73" i="30"/>
  <c r="B74" i="30"/>
  <c r="B75" i="30"/>
  <c r="B76" i="30"/>
  <c r="B77" i="30"/>
  <c r="B78" i="30"/>
  <c r="B79" i="30"/>
  <c r="B80" i="30"/>
  <c r="B81" i="30"/>
  <c r="B82" i="30"/>
  <c r="B83" i="30"/>
  <c r="B84" i="30"/>
  <c r="B85" i="30"/>
  <c r="B86" i="30"/>
  <c r="B87" i="30"/>
  <c r="B88" i="30"/>
  <c r="B89" i="30"/>
  <c r="B90" i="30"/>
  <c r="B91" i="30"/>
  <c r="B92" i="30"/>
  <c r="B93" i="30"/>
  <c r="B94" i="30"/>
  <c r="B95" i="30"/>
  <c r="B96" i="30"/>
  <c r="B97" i="30"/>
  <c r="B98" i="30"/>
  <c r="B99" i="30"/>
  <c r="B100" i="30"/>
  <c r="B101" i="30"/>
  <c r="B102" i="30"/>
  <c r="B103" i="30"/>
  <c r="B104" i="30"/>
  <c r="B105" i="30"/>
  <c r="B106" i="30"/>
  <c r="B107" i="30"/>
  <c r="B108" i="30"/>
  <c r="B109" i="30"/>
  <c r="B110" i="30"/>
  <c r="B111" i="30"/>
  <c r="B112" i="30"/>
  <c r="B113" i="30"/>
  <c r="B114" i="30"/>
  <c r="B115" i="30"/>
  <c r="B116" i="30"/>
  <c r="B117" i="30"/>
  <c r="B118" i="30"/>
  <c r="B119" i="30"/>
  <c r="B120" i="30"/>
  <c r="B121" i="30"/>
  <c r="B122" i="30"/>
  <c r="B123" i="30"/>
  <c r="B124" i="30"/>
  <c r="B125" i="30"/>
  <c r="B126" i="30"/>
  <c r="B127" i="30"/>
  <c r="B128" i="30"/>
  <c r="B129" i="30"/>
  <c r="B130" i="30"/>
  <c r="B131" i="30"/>
  <c r="B132" i="30"/>
  <c r="B133" i="30"/>
  <c r="B134" i="30"/>
  <c r="B135" i="30"/>
  <c r="B136" i="30"/>
  <c r="B137" i="30"/>
  <c r="B138" i="30"/>
  <c r="B139" i="30"/>
  <c r="B140" i="30"/>
  <c r="B141" i="30"/>
  <c r="B142" i="30"/>
  <c r="B143" i="30"/>
  <c r="B144" i="30"/>
  <c r="B145" i="30"/>
  <c r="B146" i="30"/>
  <c r="B147" i="30"/>
  <c r="B148" i="30"/>
  <c r="B149" i="30"/>
  <c r="B150" i="30"/>
  <c r="B151" i="30"/>
  <c r="B152" i="30"/>
  <c r="B153" i="30"/>
  <c r="B154" i="30"/>
  <c r="B155" i="30"/>
  <c r="B156" i="30"/>
  <c r="B157" i="30"/>
  <c r="B158" i="30"/>
  <c r="B159" i="30"/>
  <c r="B160" i="30"/>
  <c r="B161" i="30"/>
  <c r="B162" i="30"/>
  <c r="B163" i="30"/>
  <c r="B164" i="30"/>
  <c r="B165" i="30"/>
  <c r="B166" i="30"/>
  <c r="B167" i="30"/>
  <c r="B168" i="30"/>
  <c r="B169" i="30"/>
  <c r="B170" i="30"/>
  <c r="B171" i="30"/>
  <c r="B172" i="30"/>
  <c r="B173" i="30"/>
  <c r="B174" i="30"/>
  <c r="B175" i="30"/>
  <c r="B176" i="30"/>
  <c r="B177" i="30"/>
  <c r="B178" i="30"/>
  <c r="B179" i="30"/>
  <c r="B180" i="30"/>
  <c r="B181" i="30"/>
  <c r="B182" i="30"/>
  <c r="B183" i="30"/>
  <c r="B184" i="30"/>
  <c r="B185" i="30"/>
  <c r="B186" i="30"/>
  <c r="B187" i="30"/>
  <c r="B188" i="30"/>
  <c r="B189" i="30"/>
  <c r="B190" i="30"/>
  <c r="B191" i="30"/>
  <c r="B192" i="30"/>
  <c r="B193" i="30"/>
  <c r="B194" i="30"/>
  <c r="B195" i="30"/>
  <c r="B196" i="30"/>
  <c r="B197" i="30"/>
  <c r="B198" i="30"/>
  <c r="B199" i="30"/>
  <c r="B200" i="30"/>
  <c r="B201" i="30"/>
  <c r="B202" i="30"/>
  <c r="B203" i="30"/>
  <c r="B204" i="30"/>
  <c r="B205" i="30"/>
  <c r="B206" i="30"/>
  <c r="B207" i="30"/>
  <c r="B208" i="30"/>
  <c r="B209" i="30"/>
  <c r="B210" i="30"/>
  <c r="B211" i="30"/>
  <c r="B212" i="30"/>
  <c r="B213" i="30"/>
  <c r="B214" i="30"/>
  <c r="B215" i="30"/>
  <c r="B216" i="30"/>
  <c r="B217" i="30"/>
  <c r="B218" i="30"/>
  <c r="B219" i="30"/>
  <c r="B220" i="30"/>
  <c r="B221" i="30"/>
  <c r="B222" i="30"/>
  <c r="B223" i="30"/>
  <c r="B224" i="30"/>
  <c r="B225" i="30"/>
  <c r="B226" i="30"/>
  <c r="B227" i="30"/>
  <c r="B228" i="30"/>
  <c r="B229" i="30"/>
  <c r="B230" i="30"/>
  <c r="B231" i="30"/>
  <c r="B232" i="30"/>
  <c r="B233" i="30"/>
  <c r="B234" i="30"/>
  <c r="B235" i="30"/>
  <c r="B236" i="30"/>
  <c r="B237" i="30"/>
  <c r="B238" i="30"/>
  <c r="B239" i="30"/>
  <c r="B240" i="30"/>
  <c r="B241" i="30"/>
  <c r="B242" i="30"/>
  <c r="B243" i="30"/>
  <c r="B244" i="30"/>
  <c r="B245" i="30"/>
  <c r="B246" i="30"/>
  <c r="B247" i="30"/>
  <c r="B248" i="30"/>
  <c r="B249" i="30"/>
  <c r="B250" i="30"/>
  <c r="B251" i="30"/>
  <c r="B252" i="30"/>
  <c r="B253" i="30"/>
  <c r="B254" i="30"/>
  <c r="B255" i="30"/>
  <c r="B256" i="30"/>
  <c r="B257" i="30"/>
  <c r="B258" i="30"/>
  <c r="B259" i="30"/>
  <c r="B260" i="30"/>
  <c r="B261" i="30"/>
  <c r="B262" i="30"/>
  <c r="B263" i="30"/>
  <c r="B264" i="30"/>
  <c r="B265" i="30"/>
  <c r="B266" i="30"/>
  <c r="B267" i="30"/>
  <c r="B268" i="30"/>
  <c r="B269" i="30"/>
  <c r="B270" i="30"/>
  <c r="B271" i="30"/>
  <c r="B272" i="30"/>
  <c r="B273" i="30"/>
  <c r="B274" i="30"/>
  <c r="B275" i="30"/>
  <c r="B276" i="30"/>
  <c r="B277" i="30"/>
  <c r="B278" i="30"/>
  <c r="B279" i="30"/>
  <c r="B280" i="30"/>
  <c r="B281" i="30"/>
  <c r="B282" i="30"/>
  <c r="B283" i="30"/>
  <c r="B284" i="30"/>
  <c r="B285" i="30"/>
  <c r="B286" i="30"/>
  <c r="B287" i="30"/>
  <c r="B288" i="30"/>
  <c r="B289" i="30"/>
  <c r="B290" i="30"/>
  <c r="B291" i="30"/>
  <c r="B292" i="30"/>
  <c r="B293" i="30"/>
  <c r="B294" i="30"/>
  <c r="B295" i="30"/>
  <c r="B296" i="30"/>
  <c r="B297" i="30"/>
  <c r="B298" i="30"/>
  <c r="B299" i="30"/>
  <c r="B300" i="30"/>
  <c r="B301" i="30"/>
  <c r="B302" i="30"/>
  <c r="B303" i="30"/>
  <c r="B304" i="30"/>
  <c r="B305" i="30"/>
  <c r="B306" i="30"/>
  <c r="B307" i="30"/>
  <c r="B308" i="30"/>
  <c r="B309" i="30"/>
  <c r="B310" i="30"/>
  <c r="B311" i="30"/>
  <c r="B312" i="30"/>
  <c r="B313" i="30"/>
  <c r="B314" i="30"/>
  <c r="B315" i="30"/>
  <c r="B316" i="30"/>
  <c r="B317" i="30"/>
  <c r="B318" i="30"/>
  <c r="B319" i="30"/>
  <c r="B320" i="30"/>
  <c r="B321" i="30"/>
  <c r="B322" i="30"/>
  <c r="B323" i="30"/>
  <c r="B324" i="30"/>
  <c r="B325" i="30"/>
  <c r="B326" i="30"/>
  <c r="B327" i="30"/>
  <c r="B328" i="30"/>
  <c r="B329" i="30"/>
  <c r="B330" i="30"/>
  <c r="B331" i="30"/>
  <c r="B332" i="30"/>
  <c r="B333" i="30"/>
  <c r="B334" i="30"/>
  <c r="B335" i="30"/>
  <c r="B336" i="30"/>
  <c r="B337" i="30"/>
  <c r="B338" i="30"/>
  <c r="B339" i="30"/>
  <c r="B340" i="30"/>
  <c r="B341" i="30"/>
  <c r="B342" i="30"/>
  <c r="B343" i="30"/>
  <c r="B344" i="30"/>
  <c r="B345" i="30"/>
  <c r="B346" i="30"/>
  <c r="B347" i="30"/>
  <c r="B348" i="30"/>
  <c r="B349" i="30"/>
  <c r="B350" i="30"/>
  <c r="B351" i="30"/>
  <c r="B352" i="30"/>
  <c r="B353" i="30"/>
  <c r="B354" i="30"/>
  <c r="B355" i="30"/>
  <c r="B356" i="30"/>
  <c r="B357" i="30"/>
  <c r="B358" i="30"/>
  <c r="B359" i="30"/>
  <c r="B360" i="30"/>
  <c r="B361" i="30"/>
  <c r="B362" i="30"/>
  <c r="B363" i="30"/>
  <c r="B364" i="30"/>
  <c r="B365" i="30"/>
  <c r="B366" i="30"/>
  <c r="B367" i="30"/>
  <c r="B368" i="30"/>
  <c r="B369" i="30"/>
  <c r="B370" i="30"/>
  <c r="B371" i="30"/>
  <c r="B372" i="30"/>
  <c r="B373" i="30"/>
  <c r="B374" i="30"/>
  <c r="B375" i="30"/>
  <c r="B376" i="30"/>
  <c r="B377" i="30"/>
  <c r="B378" i="30"/>
  <c r="B379" i="30"/>
  <c r="B380" i="30"/>
  <c r="B381" i="30"/>
  <c r="B382" i="30"/>
  <c r="B383" i="30"/>
  <c r="B384" i="30"/>
  <c r="B385" i="30"/>
  <c r="B386" i="30"/>
  <c r="B387" i="30"/>
  <c r="B388" i="30"/>
  <c r="B389" i="30"/>
  <c r="B390" i="30"/>
  <c r="B391" i="30"/>
  <c r="B392" i="30"/>
  <c r="B393" i="30"/>
  <c r="B394" i="30"/>
  <c r="B395" i="30"/>
  <c r="B396" i="30"/>
  <c r="B397" i="30"/>
  <c r="B398" i="30"/>
  <c r="B399" i="30"/>
  <c r="B400" i="30"/>
  <c r="B401" i="30"/>
  <c r="B402" i="30"/>
  <c r="B403" i="30"/>
  <c r="B404" i="30"/>
  <c r="B405" i="30"/>
  <c r="B406" i="30"/>
  <c r="B407" i="30"/>
  <c r="B408" i="30"/>
  <c r="B409" i="30"/>
  <c r="B410" i="30"/>
  <c r="B411" i="30"/>
  <c r="B412" i="30"/>
  <c r="B413" i="30"/>
  <c r="B414" i="30"/>
  <c r="B415" i="30"/>
  <c r="B416" i="30"/>
  <c r="B417" i="30"/>
  <c r="B418" i="30"/>
  <c r="B419" i="30"/>
  <c r="B420" i="30"/>
  <c r="B421" i="30"/>
  <c r="B422" i="30"/>
  <c r="B423" i="30"/>
  <c r="B424" i="30"/>
  <c r="B425" i="30"/>
  <c r="B426" i="30"/>
  <c r="B427" i="30"/>
  <c r="B428" i="30"/>
  <c r="B429" i="30"/>
  <c r="B430" i="30"/>
  <c r="B431" i="30"/>
  <c r="B432" i="30"/>
  <c r="B433" i="30"/>
  <c r="B434" i="30"/>
  <c r="B435" i="30"/>
  <c r="B436" i="30"/>
  <c r="B437" i="30"/>
  <c r="B438" i="30"/>
  <c r="B439" i="30"/>
  <c r="B440" i="30"/>
  <c r="B441" i="30"/>
  <c r="B442" i="30"/>
  <c r="B443" i="30"/>
  <c r="B444" i="30"/>
  <c r="B445" i="30"/>
  <c r="B446" i="30"/>
  <c r="B447" i="30"/>
  <c r="B448" i="30"/>
  <c r="B449" i="30"/>
  <c r="B450" i="30"/>
  <c r="B451" i="30"/>
  <c r="B452" i="30"/>
  <c r="B453" i="30"/>
  <c r="B454" i="30"/>
  <c r="B455" i="30"/>
  <c r="B456" i="30"/>
  <c r="B457" i="30"/>
  <c r="B458" i="30"/>
  <c r="B459" i="30"/>
  <c r="B460" i="30"/>
  <c r="B461" i="30"/>
  <c r="B462" i="30"/>
  <c r="B463" i="30"/>
  <c r="B464" i="30"/>
  <c r="B465" i="30"/>
  <c r="B466" i="30"/>
  <c r="B467" i="30"/>
  <c r="B468" i="30"/>
  <c r="B469" i="30"/>
  <c r="B470" i="30"/>
  <c r="B471" i="30"/>
  <c r="B472" i="30"/>
  <c r="B473" i="30"/>
  <c r="B474" i="30"/>
  <c r="B475" i="30"/>
  <c r="B476" i="30"/>
  <c r="B477" i="30"/>
  <c r="B478" i="30"/>
  <c r="B479" i="30"/>
  <c r="B480" i="30"/>
  <c r="B481" i="30"/>
  <c r="B482" i="30"/>
  <c r="B483" i="30"/>
  <c r="B484" i="30"/>
  <c r="B485" i="30"/>
  <c r="B486" i="30"/>
  <c r="B487" i="30"/>
  <c r="B488" i="30"/>
  <c r="B489" i="30"/>
  <c r="B490" i="30"/>
  <c r="B491" i="30"/>
  <c r="B492" i="30"/>
  <c r="B493" i="30"/>
  <c r="B494" i="30"/>
  <c r="B495" i="30"/>
  <c r="B496" i="30"/>
  <c r="B497" i="30"/>
  <c r="B498" i="30"/>
  <c r="B499" i="30"/>
  <c r="B500" i="30"/>
  <c r="B501" i="30"/>
  <c r="B502" i="30"/>
  <c r="B503" i="30"/>
  <c r="B504" i="30"/>
  <c r="B505" i="30"/>
  <c r="B506" i="30"/>
  <c r="B507" i="30"/>
  <c r="B508" i="30"/>
  <c r="B509" i="30"/>
  <c r="B510" i="30"/>
  <c r="B511" i="30"/>
  <c r="B512" i="30"/>
  <c r="B513" i="30"/>
  <c r="B514" i="30"/>
  <c r="B515" i="30"/>
  <c r="B516" i="30"/>
  <c r="B517" i="30"/>
  <c r="B518" i="30"/>
  <c r="B519" i="30"/>
  <c r="B520" i="30"/>
  <c r="B521" i="30"/>
  <c r="B522" i="30"/>
  <c r="B523" i="30"/>
  <c r="B524" i="30"/>
  <c r="B525" i="30"/>
  <c r="B526" i="30"/>
  <c r="B527" i="30"/>
  <c r="B528" i="30"/>
  <c r="B529" i="30"/>
  <c r="B530" i="30"/>
  <c r="B531" i="30"/>
  <c r="B532" i="30"/>
  <c r="B533" i="30"/>
  <c r="B534" i="30"/>
  <c r="B535" i="30"/>
  <c r="B536" i="30"/>
  <c r="B537" i="30"/>
  <c r="B538" i="30"/>
  <c r="B539" i="30"/>
  <c r="B540" i="30"/>
  <c r="B541" i="30"/>
  <c r="B542" i="30"/>
  <c r="B543" i="30"/>
  <c r="B544" i="30"/>
  <c r="B545" i="30"/>
  <c r="B546" i="30"/>
  <c r="B547" i="30"/>
  <c r="B548" i="30"/>
  <c r="B549" i="30"/>
  <c r="B550" i="30"/>
  <c r="B551" i="30"/>
  <c r="B552" i="30"/>
  <c r="B553" i="30"/>
  <c r="B554" i="30"/>
  <c r="B555" i="30"/>
  <c r="B556" i="30"/>
  <c r="B557" i="30"/>
  <c r="B558" i="30"/>
  <c r="B559" i="30"/>
  <c r="B560" i="30"/>
  <c r="B561" i="30"/>
  <c r="B562" i="30"/>
  <c r="B563" i="30"/>
  <c r="B564" i="30"/>
  <c r="B565" i="30"/>
  <c r="B566" i="30"/>
  <c r="B567" i="30"/>
  <c r="B568" i="30"/>
  <c r="B569" i="30"/>
  <c r="B570" i="30"/>
  <c r="B571" i="30"/>
  <c r="B572" i="30"/>
  <c r="B573" i="30"/>
  <c r="B574" i="30"/>
  <c r="B575" i="30"/>
  <c r="B576" i="30"/>
  <c r="B577" i="30"/>
  <c r="B578" i="30"/>
  <c r="B579" i="30"/>
  <c r="B580" i="30"/>
  <c r="B581" i="30"/>
  <c r="B582" i="30"/>
  <c r="B583" i="30"/>
  <c r="B584" i="30"/>
  <c r="B585" i="30"/>
  <c r="B586" i="30"/>
  <c r="B587" i="30"/>
  <c r="B588" i="30"/>
  <c r="B589" i="30"/>
  <c r="B590" i="30"/>
  <c r="B591" i="30"/>
  <c r="B592" i="30"/>
  <c r="B593" i="30"/>
  <c r="B594" i="30"/>
  <c r="B595" i="30"/>
  <c r="B596" i="30"/>
  <c r="B597" i="30"/>
  <c r="B598" i="30"/>
  <c r="B599" i="30"/>
  <c r="B600" i="30"/>
  <c r="B601" i="30"/>
  <c r="B602" i="30"/>
  <c r="B603" i="30"/>
  <c r="B604" i="30"/>
  <c r="B605" i="30"/>
  <c r="B606" i="30"/>
  <c r="B607" i="30"/>
  <c r="B608" i="30"/>
  <c r="B609" i="30"/>
  <c r="B610" i="30"/>
  <c r="B611" i="30"/>
  <c r="B612" i="30"/>
  <c r="B613" i="30"/>
  <c r="B614" i="30"/>
  <c r="B615" i="30"/>
  <c r="B616" i="30"/>
  <c r="B617" i="30"/>
  <c r="B618" i="30"/>
  <c r="B619" i="30"/>
  <c r="B620" i="30"/>
  <c r="B621" i="30"/>
  <c r="B622" i="30"/>
  <c r="B623" i="30"/>
  <c r="B624" i="30"/>
  <c r="B625" i="30"/>
  <c r="B626" i="30"/>
  <c r="B627" i="30"/>
  <c r="B628" i="30"/>
  <c r="B629" i="30"/>
  <c r="B630" i="30"/>
  <c r="B631" i="30"/>
  <c r="B632" i="30"/>
  <c r="B633" i="30"/>
  <c r="B634" i="30"/>
  <c r="B635" i="30"/>
  <c r="B636" i="30"/>
  <c r="B637" i="30"/>
  <c r="B638" i="30"/>
  <c r="B639" i="30"/>
  <c r="B640" i="30"/>
  <c r="B641" i="30"/>
  <c r="B642" i="30"/>
  <c r="B643" i="30"/>
  <c r="B644" i="30"/>
  <c r="B645" i="30"/>
  <c r="B646" i="30"/>
  <c r="B647" i="30"/>
  <c r="B648" i="30"/>
  <c r="B649" i="30"/>
  <c r="B650" i="30"/>
  <c r="B651" i="30"/>
  <c r="B652" i="30"/>
  <c r="B653" i="30"/>
  <c r="B654" i="30"/>
  <c r="B655" i="30"/>
  <c r="B656" i="30"/>
  <c r="B657" i="30"/>
  <c r="B658" i="30"/>
  <c r="B659" i="30"/>
  <c r="B660" i="30"/>
  <c r="B661" i="30"/>
  <c r="B662" i="30"/>
  <c r="B663" i="30"/>
  <c r="B664" i="30"/>
  <c r="B665" i="30"/>
  <c r="B666" i="30"/>
  <c r="B667" i="30"/>
  <c r="B668" i="30"/>
  <c r="B669" i="30"/>
  <c r="B670" i="30"/>
  <c r="B671" i="30"/>
  <c r="B672" i="30"/>
  <c r="B673" i="30"/>
  <c r="B674" i="30"/>
  <c r="B675" i="30"/>
  <c r="B676" i="30"/>
  <c r="B677" i="30"/>
  <c r="B678" i="30"/>
  <c r="B679" i="30"/>
  <c r="B680" i="30"/>
  <c r="B681" i="30"/>
  <c r="B682" i="30"/>
  <c r="B683" i="30"/>
  <c r="B684" i="30"/>
  <c r="B685" i="30"/>
  <c r="B686" i="30"/>
  <c r="B687" i="30"/>
  <c r="B688" i="30"/>
  <c r="B689" i="30"/>
  <c r="B690" i="30"/>
  <c r="B691" i="30"/>
  <c r="B692" i="30"/>
  <c r="B693" i="30"/>
  <c r="B694" i="30"/>
  <c r="B695" i="30"/>
  <c r="B696" i="30"/>
  <c r="B697" i="30"/>
  <c r="B698" i="30"/>
  <c r="B699" i="30"/>
  <c r="B700" i="30"/>
  <c r="B701" i="30"/>
  <c r="B702" i="30"/>
  <c r="B703" i="30"/>
  <c r="B704" i="30"/>
  <c r="B705" i="30"/>
  <c r="B706" i="30"/>
  <c r="B707" i="30"/>
  <c r="B708" i="30"/>
  <c r="B709" i="30"/>
  <c r="B710" i="30"/>
  <c r="B711" i="30"/>
  <c r="B712" i="30"/>
  <c r="B713" i="30"/>
  <c r="B714" i="30"/>
  <c r="B715" i="30"/>
  <c r="B716" i="30"/>
  <c r="B717" i="30"/>
  <c r="B718" i="30"/>
  <c r="B719" i="30"/>
  <c r="B720" i="30"/>
  <c r="B721" i="30"/>
  <c r="B722" i="30"/>
  <c r="B723" i="30"/>
  <c r="B724" i="30"/>
  <c r="B725" i="30"/>
  <c r="B726" i="30"/>
  <c r="B727" i="30"/>
  <c r="B728" i="30"/>
  <c r="B729" i="30"/>
  <c r="B730" i="30"/>
  <c r="B731" i="30"/>
  <c r="B732" i="30"/>
  <c r="B733" i="30"/>
  <c r="B734" i="30"/>
  <c r="B735" i="30"/>
  <c r="B736" i="30"/>
  <c r="B737" i="30"/>
  <c r="B738" i="30"/>
  <c r="B739" i="30"/>
  <c r="B740" i="30"/>
  <c r="B741" i="30"/>
  <c r="B742" i="30"/>
  <c r="B743" i="30"/>
  <c r="B744" i="30"/>
  <c r="B745" i="30"/>
  <c r="B746" i="30"/>
  <c r="B747" i="30"/>
  <c r="B748" i="30"/>
  <c r="B749" i="30"/>
  <c r="B750" i="30"/>
  <c r="B751" i="30"/>
  <c r="B752" i="30"/>
  <c r="B753" i="30"/>
  <c r="B754" i="30"/>
  <c r="B755" i="30"/>
  <c r="B756" i="30"/>
  <c r="B757" i="30"/>
  <c r="B758" i="30"/>
  <c r="B759" i="30"/>
  <c r="B760" i="30"/>
  <c r="B761" i="30"/>
  <c r="B762" i="30"/>
  <c r="B763" i="30"/>
  <c r="B764" i="30"/>
  <c r="B765" i="30"/>
  <c r="B766" i="30"/>
  <c r="B767" i="30"/>
  <c r="B768" i="30"/>
  <c r="B769" i="30"/>
  <c r="B770" i="30"/>
  <c r="B771" i="30"/>
  <c r="B772" i="30"/>
  <c r="B773" i="30"/>
  <c r="B774" i="30"/>
  <c r="B775" i="30"/>
  <c r="B776" i="30"/>
  <c r="B777" i="30"/>
  <c r="B778" i="30"/>
  <c r="B779" i="30"/>
  <c r="B780" i="30"/>
  <c r="B781" i="30"/>
  <c r="B782" i="30"/>
  <c r="B783" i="30"/>
  <c r="B784" i="30"/>
  <c r="B785" i="30"/>
  <c r="B786" i="30"/>
  <c r="B787" i="30"/>
  <c r="B788" i="30"/>
  <c r="B789" i="30"/>
  <c r="B790" i="30"/>
  <c r="B791" i="30"/>
  <c r="B792" i="30"/>
  <c r="B793" i="30"/>
  <c r="B794" i="30"/>
  <c r="B795" i="30"/>
  <c r="B796" i="30"/>
  <c r="B797" i="30"/>
  <c r="B798" i="30"/>
  <c r="B799" i="30"/>
  <c r="B800" i="30"/>
  <c r="B801" i="30"/>
  <c r="B802" i="30"/>
  <c r="B803" i="30"/>
  <c r="B804" i="30"/>
  <c r="B805" i="30"/>
  <c r="B806" i="30"/>
  <c r="B807" i="30"/>
  <c r="B808" i="30"/>
  <c r="B809" i="30"/>
  <c r="B810" i="30"/>
  <c r="B811" i="30"/>
  <c r="B812" i="30"/>
  <c r="B813" i="30"/>
  <c r="B814" i="30"/>
  <c r="B815" i="30"/>
  <c r="B816" i="30"/>
  <c r="B817" i="30"/>
  <c r="B818" i="30"/>
  <c r="B819" i="30"/>
  <c r="B820" i="30"/>
  <c r="B821" i="30"/>
  <c r="B822" i="30"/>
  <c r="B823" i="30"/>
  <c r="B824" i="30"/>
  <c r="B825" i="30"/>
  <c r="B826" i="30"/>
  <c r="B827" i="30"/>
  <c r="B828" i="30"/>
  <c r="B829" i="30"/>
  <c r="B830" i="30"/>
  <c r="B831" i="30"/>
  <c r="B832" i="30"/>
  <c r="B833" i="30"/>
  <c r="B834" i="30"/>
  <c r="B835" i="30"/>
  <c r="B836" i="30"/>
  <c r="B837" i="30"/>
  <c r="B838" i="30"/>
  <c r="B839" i="30"/>
  <c r="B840" i="30"/>
  <c r="B841" i="30"/>
  <c r="B842" i="30"/>
  <c r="B843" i="30"/>
  <c r="B844" i="30"/>
  <c r="B845" i="30"/>
  <c r="B846" i="30"/>
  <c r="B847" i="30"/>
  <c r="B848" i="30"/>
  <c r="B849" i="30"/>
  <c r="B850" i="30"/>
  <c r="B851" i="30"/>
  <c r="B852" i="30"/>
  <c r="B853" i="30"/>
  <c r="B854" i="30"/>
  <c r="B855" i="30"/>
  <c r="B856" i="30"/>
  <c r="B857" i="30"/>
  <c r="B858" i="30"/>
  <c r="B859" i="30"/>
  <c r="B860" i="30"/>
  <c r="B861" i="30"/>
  <c r="B862" i="30"/>
  <c r="B863" i="30"/>
  <c r="B864" i="30"/>
  <c r="B865" i="30"/>
  <c r="B866" i="30"/>
  <c r="B867" i="30"/>
  <c r="B868" i="30"/>
  <c r="B869" i="30"/>
  <c r="B870" i="30"/>
  <c r="B871" i="30"/>
  <c r="B872" i="30"/>
  <c r="B873" i="30"/>
  <c r="B874" i="30"/>
  <c r="B875" i="30"/>
  <c r="B876" i="30"/>
  <c r="B877" i="30"/>
  <c r="B878" i="30"/>
  <c r="B879" i="30"/>
  <c r="B880" i="30"/>
  <c r="B881" i="30"/>
  <c r="B882" i="30"/>
  <c r="B883" i="30"/>
  <c r="B884" i="30"/>
  <c r="B885" i="30"/>
  <c r="B886" i="30"/>
  <c r="B887" i="30"/>
  <c r="B888" i="30"/>
  <c r="B889" i="30"/>
  <c r="B890" i="30"/>
  <c r="B891" i="30"/>
  <c r="B892" i="30"/>
  <c r="B893" i="30"/>
  <c r="B894" i="30"/>
  <c r="B895" i="30"/>
  <c r="B896" i="30"/>
  <c r="B897" i="30"/>
  <c r="B898" i="30"/>
  <c r="B899" i="30"/>
  <c r="B900" i="30"/>
  <c r="B901" i="30"/>
  <c r="B902" i="30"/>
  <c r="B903" i="30"/>
  <c r="B904" i="30"/>
  <c r="B905" i="30"/>
  <c r="B906" i="30"/>
  <c r="B907" i="30"/>
  <c r="B908" i="30"/>
  <c r="B909" i="30"/>
  <c r="B910" i="30"/>
  <c r="B911" i="30"/>
  <c r="B912" i="30"/>
  <c r="B913" i="30"/>
  <c r="B914" i="30"/>
  <c r="B915" i="30"/>
  <c r="B916" i="30"/>
  <c r="B917" i="30"/>
  <c r="B918" i="30"/>
  <c r="B919" i="30"/>
  <c r="B920" i="30"/>
  <c r="B921" i="30"/>
  <c r="B922" i="30"/>
  <c r="B923" i="30"/>
  <c r="B924" i="30"/>
  <c r="B925" i="30"/>
  <c r="B926" i="30"/>
  <c r="B927" i="30"/>
  <c r="B928" i="30"/>
  <c r="B929" i="30"/>
  <c r="B930" i="30"/>
  <c r="B931" i="30"/>
  <c r="B932" i="30"/>
  <c r="B933" i="30"/>
  <c r="B934" i="30"/>
  <c r="B935" i="30"/>
  <c r="B936" i="30"/>
  <c r="B937" i="30"/>
  <c r="B938" i="30"/>
  <c r="B939" i="30"/>
  <c r="B940" i="30"/>
  <c r="B941" i="30"/>
  <c r="B942" i="30"/>
  <c r="B943" i="30"/>
  <c r="B944" i="30"/>
  <c r="B945" i="30"/>
  <c r="B946" i="30"/>
  <c r="B947" i="30"/>
  <c r="B948" i="30"/>
  <c r="B949" i="30"/>
  <c r="B950" i="30"/>
  <c r="B951" i="30"/>
  <c r="B952" i="30"/>
  <c r="B953" i="30"/>
  <c r="B954" i="30"/>
  <c r="B955" i="30"/>
  <c r="B956" i="30"/>
  <c r="B957" i="30"/>
  <c r="B958" i="30"/>
  <c r="B959" i="30"/>
  <c r="B960" i="30"/>
  <c r="B961" i="30"/>
  <c r="B962" i="30"/>
  <c r="B963" i="30"/>
  <c r="B964" i="30"/>
  <c r="B965" i="30"/>
  <c r="B966" i="30"/>
  <c r="B967" i="30"/>
  <c r="B968" i="30"/>
  <c r="B969" i="30"/>
  <c r="B970" i="30"/>
  <c r="B971" i="30"/>
  <c r="B972" i="30"/>
  <c r="B973" i="30"/>
  <c r="B974" i="30"/>
  <c r="B975" i="30"/>
  <c r="B976" i="30"/>
  <c r="B977" i="30"/>
  <c r="B978" i="30"/>
  <c r="B979" i="30"/>
  <c r="B980" i="30"/>
  <c r="B981" i="30"/>
  <c r="B982" i="30"/>
  <c r="B983" i="30"/>
  <c r="B984" i="30"/>
  <c r="B985" i="30"/>
  <c r="B986" i="30"/>
  <c r="B987" i="30"/>
  <c r="B988" i="30"/>
  <c r="B989" i="30"/>
  <c r="B990" i="30"/>
  <c r="B991" i="30"/>
  <c r="B992" i="30"/>
  <c r="B993" i="30"/>
  <c r="B994" i="30"/>
  <c r="B995" i="30"/>
  <c r="B996" i="30"/>
  <c r="B997" i="30"/>
  <c r="B998" i="30"/>
  <c r="B999" i="30"/>
  <c r="B1000" i="30"/>
  <c r="B1001" i="30"/>
  <c r="B1002" i="30"/>
  <c r="B1003" i="30"/>
  <c r="B1004" i="30"/>
  <c r="B1005" i="30"/>
  <c r="B1006" i="30"/>
  <c r="B1007" i="30"/>
  <c r="B1008" i="30"/>
  <c r="B1009" i="30"/>
  <c r="B1010" i="30"/>
  <c r="B1011" i="30"/>
  <c r="B1012" i="30"/>
  <c r="B1013" i="30"/>
  <c r="B1014" i="30"/>
  <c r="B1015" i="30"/>
  <c r="B1016" i="30"/>
  <c r="B1017" i="30"/>
  <c r="B1018" i="30"/>
  <c r="B1019" i="30"/>
  <c r="B1020" i="30"/>
  <c r="B1021" i="30"/>
  <c r="B1022" i="30"/>
  <c r="B1023" i="30"/>
  <c r="B1024" i="30"/>
  <c r="B1025" i="30"/>
  <c r="B1026" i="30"/>
  <c r="B1027" i="30"/>
  <c r="B1028" i="30"/>
  <c r="B1029" i="30"/>
  <c r="B1030" i="30"/>
  <c r="B1031" i="30"/>
  <c r="B1032" i="30"/>
  <c r="B1033" i="30"/>
  <c r="B1034" i="30"/>
  <c r="B1035" i="30"/>
  <c r="B1036" i="30"/>
  <c r="B1037" i="30"/>
  <c r="B1038" i="30"/>
  <c r="B1039" i="30"/>
  <c r="B1040" i="30"/>
  <c r="B1041" i="30"/>
  <c r="B1042" i="30"/>
  <c r="B1043" i="30"/>
  <c r="B1044" i="30"/>
  <c r="B1045" i="30"/>
  <c r="B1046" i="30"/>
  <c r="B1047" i="30"/>
  <c r="B1048" i="30"/>
  <c r="B1049" i="30"/>
  <c r="B1050" i="30"/>
  <c r="B1051" i="30"/>
  <c r="B1052" i="30"/>
  <c r="B1053" i="30"/>
  <c r="B1054" i="30"/>
  <c r="B1055" i="30"/>
  <c r="B1056" i="30"/>
  <c r="B1057" i="30"/>
  <c r="B1058" i="30"/>
  <c r="B1059" i="30"/>
  <c r="B1060" i="30"/>
  <c r="B1061" i="30"/>
  <c r="B1062" i="30"/>
  <c r="B1063" i="30"/>
  <c r="B1064" i="30"/>
  <c r="B1065" i="30"/>
  <c r="B1066" i="30"/>
  <c r="B1067" i="30"/>
  <c r="B1068" i="30"/>
  <c r="B1069" i="30"/>
  <c r="B1070" i="30"/>
  <c r="B1071" i="30"/>
  <c r="B1072" i="30"/>
  <c r="B1073" i="30"/>
  <c r="B1074" i="30"/>
  <c r="B1075" i="30"/>
  <c r="B1076" i="30"/>
  <c r="B1077" i="30"/>
  <c r="B1078" i="30"/>
  <c r="B1079" i="30"/>
  <c r="B1080" i="30"/>
  <c r="B1081" i="30"/>
  <c r="B1082" i="30"/>
  <c r="B1083" i="30"/>
  <c r="B1084" i="30"/>
  <c r="B1085" i="30"/>
  <c r="B1086" i="30"/>
  <c r="B1087" i="30"/>
  <c r="B1088" i="30"/>
  <c r="B1089" i="30"/>
  <c r="B1090" i="30"/>
  <c r="B1091" i="30"/>
  <c r="B1092" i="30"/>
  <c r="B1093" i="30"/>
  <c r="B1094" i="30"/>
  <c r="B1095" i="30"/>
  <c r="B1096" i="30"/>
  <c r="B1097" i="30"/>
  <c r="B1098" i="30"/>
  <c r="B1099" i="30"/>
  <c r="B1100" i="30"/>
  <c r="B1101" i="30"/>
  <c r="B1102" i="30"/>
  <c r="B1103" i="30"/>
  <c r="B1104" i="30"/>
  <c r="B1105" i="30"/>
  <c r="B1106" i="30"/>
  <c r="B1107" i="30"/>
  <c r="B1108" i="30"/>
  <c r="B1109" i="30"/>
  <c r="B1110" i="30"/>
  <c r="B1111" i="30"/>
  <c r="B1112" i="30"/>
  <c r="B1113" i="30"/>
  <c r="B1114" i="30"/>
  <c r="B1115" i="30"/>
  <c r="B1116" i="30"/>
  <c r="B1117" i="30"/>
  <c r="B1118" i="30"/>
  <c r="B1119" i="30"/>
  <c r="B1120" i="30"/>
  <c r="B1121" i="30"/>
  <c r="B1122" i="30"/>
  <c r="B1123" i="30"/>
  <c r="B1124" i="30"/>
  <c r="B1125" i="30"/>
  <c r="B1126" i="30"/>
  <c r="B1127" i="30"/>
  <c r="B1128" i="30"/>
  <c r="B1129" i="30"/>
  <c r="B1130" i="30"/>
  <c r="B1131" i="30"/>
  <c r="B1132" i="30"/>
  <c r="B1133" i="30"/>
  <c r="B1134" i="30"/>
  <c r="B1135" i="30"/>
  <c r="B1136" i="30"/>
  <c r="B1137" i="30"/>
  <c r="B1138" i="30"/>
  <c r="B1139" i="30"/>
  <c r="B1140" i="30"/>
  <c r="B1141" i="30"/>
  <c r="B1142" i="30"/>
  <c r="B1143" i="30"/>
  <c r="B1144" i="30"/>
  <c r="B1145" i="30"/>
  <c r="B1146" i="30"/>
  <c r="B1147" i="30"/>
  <c r="B1148" i="30"/>
  <c r="B1149" i="30"/>
  <c r="B1150" i="30"/>
  <c r="B1151" i="30"/>
  <c r="B1152" i="30"/>
  <c r="B1153" i="30"/>
  <c r="B1154" i="30"/>
  <c r="B1155" i="30"/>
  <c r="B1156" i="30"/>
  <c r="B1157" i="30"/>
  <c r="B1158" i="30"/>
  <c r="B1159" i="30"/>
  <c r="B1160" i="30"/>
  <c r="B1161" i="30"/>
  <c r="B1162" i="30"/>
  <c r="B1163" i="30"/>
  <c r="B1164" i="30"/>
  <c r="B1165" i="30"/>
  <c r="B1166" i="30"/>
  <c r="B1167" i="30"/>
  <c r="B1168" i="30"/>
  <c r="B1169" i="30"/>
  <c r="B1170" i="30"/>
  <c r="B1171" i="30"/>
  <c r="B1172" i="30"/>
  <c r="B1173" i="30"/>
  <c r="B1174" i="30"/>
  <c r="B1175" i="30"/>
  <c r="B1176" i="30"/>
  <c r="B1177" i="30"/>
  <c r="B1178" i="30"/>
  <c r="B1179" i="30"/>
  <c r="B1180" i="30"/>
  <c r="B1181" i="30"/>
  <c r="B1182" i="30"/>
  <c r="B1183" i="30"/>
  <c r="B1184" i="30"/>
  <c r="B1185" i="30"/>
  <c r="B1186" i="30"/>
  <c r="B1187" i="30"/>
  <c r="B1188" i="30"/>
  <c r="B1189" i="30"/>
  <c r="B1190" i="30"/>
  <c r="B1191" i="30"/>
  <c r="B1192" i="30"/>
  <c r="B1193" i="30"/>
  <c r="B1194" i="30"/>
  <c r="B1195" i="30"/>
  <c r="B1196" i="30"/>
  <c r="B1197" i="30"/>
  <c r="B1198" i="30"/>
  <c r="B1199" i="30"/>
  <c r="B1200" i="30"/>
  <c r="B1201" i="30"/>
  <c r="B1202" i="30"/>
  <c r="B1203" i="30"/>
  <c r="B1204" i="30"/>
  <c r="B1205" i="30"/>
  <c r="B1206" i="30"/>
  <c r="B1207" i="30"/>
  <c r="B1208" i="30"/>
  <c r="B1209" i="30"/>
  <c r="B1210" i="30"/>
  <c r="B1211" i="30"/>
  <c r="B1212" i="30"/>
  <c r="B1213" i="30"/>
  <c r="B1214" i="30"/>
  <c r="B1215" i="30"/>
  <c r="B1216" i="30"/>
  <c r="B1217" i="30"/>
  <c r="B1218" i="30"/>
  <c r="B1219" i="30"/>
  <c r="B1220" i="30"/>
  <c r="B1221" i="30"/>
  <c r="B1222" i="30"/>
  <c r="B1223" i="30"/>
  <c r="B1224" i="30"/>
  <c r="B1225" i="30"/>
  <c r="B1226" i="30"/>
  <c r="B1227" i="30"/>
  <c r="B1228" i="30"/>
  <c r="B1229" i="30"/>
  <c r="B1230" i="30"/>
  <c r="B1231" i="30"/>
  <c r="B1232" i="30"/>
  <c r="B1233" i="30"/>
  <c r="B1234" i="30"/>
  <c r="B1235" i="30"/>
  <c r="B1236" i="30"/>
  <c r="B1237" i="30"/>
  <c r="B1238" i="30"/>
  <c r="B1239" i="30"/>
  <c r="B1240" i="30"/>
  <c r="B1241" i="30"/>
  <c r="B1242" i="30"/>
  <c r="B1243" i="30"/>
  <c r="B1244" i="30"/>
  <c r="B1245" i="30"/>
  <c r="B1246" i="30"/>
  <c r="B1247" i="30"/>
  <c r="B1248" i="30"/>
  <c r="B1249" i="30"/>
  <c r="B1250" i="30"/>
  <c r="B1251" i="30"/>
  <c r="B1252" i="30"/>
  <c r="B1253" i="30"/>
  <c r="B1254" i="30"/>
  <c r="B1255" i="30"/>
  <c r="B1256" i="30"/>
  <c r="B1257" i="30"/>
  <c r="B1258" i="30"/>
  <c r="B1259" i="30"/>
  <c r="B1260" i="30"/>
  <c r="B1261" i="30"/>
  <c r="B1262" i="30"/>
  <c r="B1263" i="30"/>
  <c r="B1264" i="30"/>
  <c r="B1265" i="30"/>
  <c r="B1266" i="30"/>
  <c r="B1267" i="30"/>
  <c r="B1268" i="30"/>
  <c r="B1269" i="30"/>
  <c r="B1270" i="30"/>
  <c r="B1271" i="30"/>
  <c r="B1272" i="30"/>
  <c r="B1273" i="30"/>
  <c r="B1274" i="30"/>
  <c r="B1275" i="30"/>
  <c r="B1276" i="30"/>
  <c r="B1277" i="30"/>
  <c r="B1278" i="30"/>
  <c r="B1279" i="30"/>
  <c r="B1280" i="30"/>
  <c r="B1281" i="30"/>
  <c r="B1282" i="30"/>
  <c r="B1283" i="30"/>
  <c r="B1284" i="30"/>
  <c r="B1285" i="30"/>
  <c r="B1286" i="30"/>
  <c r="B1287" i="30"/>
  <c r="B1288" i="30"/>
  <c r="B1289" i="30"/>
  <c r="B1290" i="30"/>
  <c r="B1291" i="30"/>
  <c r="B1292" i="30"/>
  <c r="B1293" i="30"/>
  <c r="B1294" i="30"/>
  <c r="B1295" i="30"/>
  <c r="B1296" i="30"/>
  <c r="B1297" i="30"/>
  <c r="B1298" i="30"/>
  <c r="B1299" i="30"/>
  <c r="B1300" i="30"/>
  <c r="B1301" i="30"/>
  <c r="B1302" i="30"/>
  <c r="B1303" i="30"/>
  <c r="B1304" i="30"/>
  <c r="B1305" i="30"/>
  <c r="B1306" i="30"/>
  <c r="B1307" i="30"/>
  <c r="B1308" i="30"/>
  <c r="B1309" i="30"/>
  <c r="B1310" i="30"/>
  <c r="B1311" i="30"/>
  <c r="B1312" i="30"/>
  <c r="B1313" i="30"/>
  <c r="B1314" i="30"/>
  <c r="B1315" i="30"/>
  <c r="B1316" i="30"/>
  <c r="B1317" i="30"/>
  <c r="B1318" i="30"/>
  <c r="B1319" i="30"/>
  <c r="B1320" i="30"/>
  <c r="B1321" i="30"/>
  <c r="B1322" i="30"/>
  <c r="B1323" i="30"/>
  <c r="B1324" i="30"/>
  <c r="B1325" i="30"/>
  <c r="B1326" i="30"/>
  <c r="B1327" i="30"/>
  <c r="B1328" i="30"/>
  <c r="B1329" i="30"/>
  <c r="B1330" i="30"/>
  <c r="B1331" i="30"/>
  <c r="B1332" i="30"/>
  <c r="B1333" i="30"/>
  <c r="B1334" i="30"/>
  <c r="B1335" i="30"/>
  <c r="B1336" i="30"/>
  <c r="B1337" i="30"/>
  <c r="B1338" i="30"/>
  <c r="B1339" i="30"/>
  <c r="B1340" i="30"/>
  <c r="B1341" i="30"/>
  <c r="B1342" i="30"/>
  <c r="B1343" i="30"/>
  <c r="B1344" i="30"/>
  <c r="B1345" i="30"/>
  <c r="B1346" i="30"/>
  <c r="B1347" i="30"/>
  <c r="B1348" i="30"/>
  <c r="B1349" i="30"/>
  <c r="B1350" i="30"/>
  <c r="B1351" i="30"/>
  <c r="B1352" i="30"/>
  <c r="B1353" i="30"/>
  <c r="B1354" i="30"/>
  <c r="B1355" i="30"/>
  <c r="B1356" i="30"/>
  <c r="B1357" i="30"/>
  <c r="B1358" i="30"/>
  <c r="B1359" i="30"/>
  <c r="B1360" i="30"/>
  <c r="B1361" i="30"/>
  <c r="B1362" i="30"/>
  <c r="B1363" i="30"/>
  <c r="B1364" i="30"/>
  <c r="B1365" i="30"/>
  <c r="B1366" i="30"/>
  <c r="B1367" i="30"/>
  <c r="B1368" i="30"/>
  <c r="B1369" i="30"/>
  <c r="B1370" i="30"/>
  <c r="B1371" i="30"/>
  <c r="B1372" i="30"/>
  <c r="B1373" i="30"/>
  <c r="B1374" i="30"/>
  <c r="B1375" i="30"/>
  <c r="B1376" i="30"/>
  <c r="B1377" i="30"/>
  <c r="B1378" i="30"/>
  <c r="B1379" i="30"/>
  <c r="B1380" i="30"/>
  <c r="B1381" i="30"/>
  <c r="B1382" i="30"/>
  <c r="B1383" i="30"/>
  <c r="B1384" i="30"/>
  <c r="B1385" i="30"/>
  <c r="B1386" i="30"/>
  <c r="B1387" i="30"/>
  <c r="B1388" i="30"/>
  <c r="B1389" i="30"/>
  <c r="B1390" i="30"/>
  <c r="B1391" i="30"/>
  <c r="B1392" i="30"/>
  <c r="B1393" i="30"/>
  <c r="B1394" i="30"/>
  <c r="B1395" i="30"/>
  <c r="B1396" i="30"/>
  <c r="B1397" i="30"/>
  <c r="B1398" i="30"/>
  <c r="B1399" i="30"/>
  <c r="B1400" i="30"/>
  <c r="B1401" i="30"/>
  <c r="B1402" i="30"/>
  <c r="B1403" i="30"/>
  <c r="B1404" i="30"/>
  <c r="B1405" i="30"/>
  <c r="B1406" i="30"/>
  <c r="B1407" i="30"/>
  <c r="B1408" i="30"/>
  <c r="B1409" i="30"/>
  <c r="B1410" i="30"/>
  <c r="B1411" i="30"/>
  <c r="B1412" i="30"/>
  <c r="B1413" i="30"/>
  <c r="B1414" i="30"/>
  <c r="B1415" i="30"/>
  <c r="B1416" i="30"/>
  <c r="B1417" i="30"/>
  <c r="B1418" i="30"/>
  <c r="B1419" i="30"/>
  <c r="B1420" i="30"/>
  <c r="B1421" i="30"/>
  <c r="B1422" i="30"/>
  <c r="B1423" i="30"/>
  <c r="B1424" i="30"/>
  <c r="B1425" i="30"/>
  <c r="B1426" i="30"/>
  <c r="B1427" i="30"/>
  <c r="B1428" i="30"/>
  <c r="B1429" i="30"/>
  <c r="B1430" i="30"/>
  <c r="B1431" i="30"/>
  <c r="B1432" i="30"/>
  <c r="B1433" i="30"/>
  <c r="B1434" i="30"/>
  <c r="B1435" i="30"/>
  <c r="B1436" i="30"/>
  <c r="B1437" i="30"/>
  <c r="B1438" i="30"/>
  <c r="B1439" i="30"/>
  <c r="B1440" i="30"/>
  <c r="B1441" i="30"/>
  <c r="B1442" i="30"/>
  <c r="B1443" i="30"/>
  <c r="B1444" i="30"/>
  <c r="B1445" i="30"/>
  <c r="B1446" i="30"/>
  <c r="B1447" i="30"/>
  <c r="B1448" i="30"/>
  <c r="B1449" i="30"/>
  <c r="B1450" i="30"/>
  <c r="B1451" i="30"/>
  <c r="B1452" i="30"/>
  <c r="B1453" i="30"/>
  <c r="B1454" i="30"/>
  <c r="B1455" i="30"/>
  <c r="B1456" i="30"/>
  <c r="B1457" i="30"/>
  <c r="B1458" i="30"/>
  <c r="B1459" i="30"/>
  <c r="B1460" i="30"/>
  <c r="B1461" i="30"/>
  <c r="B1462" i="30"/>
  <c r="B1463" i="30"/>
  <c r="B1464" i="30"/>
  <c r="B1465" i="30"/>
  <c r="B1466" i="30"/>
  <c r="B1467" i="30"/>
  <c r="B1468" i="30"/>
  <c r="B1469" i="30"/>
  <c r="B1470" i="30"/>
  <c r="B1471" i="30"/>
  <c r="B1472" i="30"/>
  <c r="B1473" i="30"/>
  <c r="B1474" i="30"/>
  <c r="B1475" i="30"/>
  <c r="B1476" i="30"/>
  <c r="B1477" i="30"/>
  <c r="B1478" i="30"/>
  <c r="B1479" i="30"/>
  <c r="B1480" i="30"/>
  <c r="B1481" i="30"/>
  <c r="B1482" i="30"/>
  <c r="B1483" i="30"/>
  <c r="B1484" i="30"/>
  <c r="B1485" i="30"/>
  <c r="B1486" i="30"/>
  <c r="B1487" i="30"/>
  <c r="B1488" i="30"/>
  <c r="B1489" i="30"/>
  <c r="B1490" i="30"/>
  <c r="B1491" i="30"/>
  <c r="B1492" i="30"/>
  <c r="B1493" i="30"/>
  <c r="B1494" i="30"/>
  <c r="B1495" i="30"/>
  <c r="B1496" i="30"/>
  <c r="B1497" i="30"/>
  <c r="B1498" i="30"/>
  <c r="B1499" i="30"/>
  <c r="B1500" i="30"/>
  <c r="B1501" i="30"/>
  <c r="B1502" i="30"/>
  <c r="B1503" i="30"/>
  <c r="B1504" i="30"/>
  <c r="B1505" i="30"/>
  <c r="B1506" i="30"/>
  <c r="B1507" i="30"/>
  <c r="B1508" i="30"/>
  <c r="B1509" i="30"/>
  <c r="B1510" i="30"/>
  <c r="B1511" i="30"/>
  <c r="B1512" i="30"/>
  <c r="B1513" i="30"/>
  <c r="B1514" i="30"/>
  <c r="B1515" i="30"/>
  <c r="B1516" i="30"/>
  <c r="B1517" i="30"/>
  <c r="B1518" i="30"/>
  <c r="B1519" i="30"/>
  <c r="B1520" i="30"/>
  <c r="B1521" i="30"/>
  <c r="B1522" i="30"/>
  <c r="B1523" i="30"/>
  <c r="B1524" i="30"/>
  <c r="B1525" i="30"/>
  <c r="B1526" i="30"/>
  <c r="B1527" i="30"/>
  <c r="B1528" i="30"/>
  <c r="B1529" i="30"/>
  <c r="B1530" i="30"/>
  <c r="B1531" i="30"/>
  <c r="B1532" i="30"/>
  <c r="B1533" i="30"/>
  <c r="B1534" i="30"/>
  <c r="B1535" i="30"/>
  <c r="B1536" i="30"/>
  <c r="B1537" i="30"/>
  <c r="B1538" i="30"/>
  <c r="B1539" i="30"/>
  <c r="B1540" i="30"/>
  <c r="B1541" i="30"/>
  <c r="B1542" i="30"/>
  <c r="B1543" i="30"/>
  <c r="B1544" i="30"/>
  <c r="B1545" i="30"/>
  <c r="B1546" i="30"/>
  <c r="B1547" i="30"/>
  <c r="B1548" i="30"/>
  <c r="B1549" i="30"/>
  <c r="B1550" i="30"/>
  <c r="B1551" i="30"/>
  <c r="B1552" i="30"/>
  <c r="B1553" i="30"/>
  <c r="B1554" i="30"/>
  <c r="B1555" i="30"/>
  <c r="B1556" i="30"/>
  <c r="B1557" i="30"/>
  <c r="B1558" i="30"/>
  <c r="B1559" i="30"/>
  <c r="B1560" i="30"/>
  <c r="B1561" i="30"/>
  <c r="B1562" i="30"/>
  <c r="B1563" i="30"/>
  <c r="B1564" i="30"/>
  <c r="B1565" i="30"/>
  <c r="B1566" i="30"/>
  <c r="B1567" i="30"/>
  <c r="B1568" i="30"/>
  <c r="B1569" i="30"/>
  <c r="B1570" i="30"/>
  <c r="B1571" i="30"/>
  <c r="B1572" i="30"/>
  <c r="B1573" i="30"/>
  <c r="B1574" i="30"/>
  <c r="B1575" i="30"/>
  <c r="B1576" i="30"/>
  <c r="B1577" i="30"/>
  <c r="B1578" i="30"/>
  <c r="B1579" i="30"/>
  <c r="B1580" i="30"/>
  <c r="B1581" i="30"/>
  <c r="B1582" i="30"/>
  <c r="B1583" i="30"/>
  <c r="B1584" i="30"/>
  <c r="B1585" i="30"/>
  <c r="B1586" i="30"/>
  <c r="B1587" i="30"/>
  <c r="B1588" i="30"/>
  <c r="B1589" i="30"/>
  <c r="B1590" i="30"/>
  <c r="B1591" i="30"/>
  <c r="B1592" i="30"/>
  <c r="B1593" i="30"/>
  <c r="B1594" i="30"/>
  <c r="B1595" i="30"/>
  <c r="B1596" i="30"/>
  <c r="B1597" i="30"/>
  <c r="B1598" i="30"/>
  <c r="B1599" i="30"/>
  <c r="B1600" i="30"/>
  <c r="B1601" i="30"/>
  <c r="B1602" i="30"/>
  <c r="B1603" i="30"/>
  <c r="B1604" i="30"/>
  <c r="B1605" i="30"/>
  <c r="B1606" i="30"/>
  <c r="B1607" i="30"/>
  <c r="B1608" i="30"/>
  <c r="B1609" i="30"/>
  <c r="B1610" i="30"/>
  <c r="B1611" i="30"/>
  <c r="B1612" i="30"/>
  <c r="B1613" i="30"/>
  <c r="B1614" i="30"/>
  <c r="B1615" i="30"/>
  <c r="B1616" i="30"/>
  <c r="B1617" i="30"/>
  <c r="B1618" i="30"/>
  <c r="B1619" i="30"/>
  <c r="B1620" i="30"/>
  <c r="B1621" i="30"/>
  <c r="B1622" i="30"/>
  <c r="B1623" i="30"/>
  <c r="B1624" i="30"/>
  <c r="B1625" i="30"/>
  <c r="B1626" i="30"/>
  <c r="B1627" i="30"/>
  <c r="B1628" i="30"/>
  <c r="B1629" i="30"/>
  <c r="B1630" i="30"/>
  <c r="B1631" i="30"/>
  <c r="B1632" i="30"/>
  <c r="B1633" i="30"/>
  <c r="B1634" i="30"/>
  <c r="B1635" i="30"/>
  <c r="B1636" i="30"/>
  <c r="B1637" i="30"/>
  <c r="B1638" i="30"/>
  <c r="B1639" i="30"/>
  <c r="B1640" i="30"/>
  <c r="B1641" i="30"/>
  <c r="B1642" i="30"/>
  <c r="B1643" i="30"/>
  <c r="B1644" i="30"/>
  <c r="B1645" i="30"/>
  <c r="B1646" i="30"/>
  <c r="B1647" i="30"/>
  <c r="B1648" i="30"/>
  <c r="B1649" i="30"/>
  <c r="B1650" i="30"/>
  <c r="B1651" i="30"/>
  <c r="B1652" i="30"/>
  <c r="B1653" i="30"/>
  <c r="B1654" i="30"/>
  <c r="B1655" i="30"/>
  <c r="B1656" i="30"/>
  <c r="B1657" i="30"/>
  <c r="B1658" i="30"/>
  <c r="B1659" i="30"/>
  <c r="B1660" i="30"/>
  <c r="B1661" i="30"/>
  <c r="B1662" i="30"/>
  <c r="B1663" i="30"/>
  <c r="B1664" i="30"/>
  <c r="B1665" i="30"/>
  <c r="B1666" i="30"/>
  <c r="B1667" i="30"/>
  <c r="B1668" i="30"/>
  <c r="B1669" i="30"/>
  <c r="B1670" i="30"/>
  <c r="B1671" i="30"/>
  <c r="B1672" i="30"/>
  <c r="B1673" i="30"/>
  <c r="B1674" i="30"/>
  <c r="B1675" i="30"/>
  <c r="B1676" i="30"/>
  <c r="B1677" i="30"/>
  <c r="B1678" i="30"/>
  <c r="B1679" i="30"/>
  <c r="B1680" i="30"/>
  <c r="B1681" i="30"/>
  <c r="B1682" i="30"/>
  <c r="B1683" i="30"/>
  <c r="B1684" i="30"/>
  <c r="B1685" i="30"/>
  <c r="B1686" i="30"/>
  <c r="B1687" i="30"/>
  <c r="B1688" i="30"/>
  <c r="B1689" i="30"/>
  <c r="B1690" i="30"/>
  <c r="B1691" i="30"/>
  <c r="B1692" i="30"/>
  <c r="B1693" i="30"/>
  <c r="B1694" i="30"/>
  <c r="B1695" i="30"/>
  <c r="B1696" i="30"/>
  <c r="B1697" i="30"/>
  <c r="B1698" i="30"/>
  <c r="B1699" i="30"/>
  <c r="B1700" i="30"/>
  <c r="B1701" i="30"/>
  <c r="B1702" i="30"/>
  <c r="B1703" i="30"/>
  <c r="B1704" i="30"/>
  <c r="B1705" i="30"/>
  <c r="B1706" i="30"/>
  <c r="B1707" i="30"/>
  <c r="B1708" i="30"/>
  <c r="B1709" i="30"/>
  <c r="B1710" i="30"/>
  <c r="B1711" i="30"/>
  <c r="B1712" i="30"/>
  <c r="B1713" i="30"/>
  <c r="B1714" i="30"/>
  <c r="B1715" i="30"/>
  <c r="B1716" i="30"/>
  <c r="B1717" i="30"/>
  <c r="B1718" i="30"/>
  <c r="B1719" i="30"/>
  <c r="B1720" i="30"/>
  <c r="B1721" i="30"/>
  <c r="B1722" i="30"/>
  <c r="B1723" i="30"/>
  <c r="B1724" i="30"/>
  <c r="B1725" i="30"/>
  <c r="B1726" i="30"/>
  <c r="B1727" i="30"/>
  <c r="B1728" i="30"/>
  <c r="B1729" i="30"/>
  <c r="B1730" i="30"/>
  <c r="B1731" i="30"/>
  <c r="B1732" i="30"/>
  <c r="B1733" i="30"/>
  <c r="B1734" i="30"/>
  <c r="B1735" i="30"/>
  <c r="B1736" i="30"/>
  <c r="B1737" i="30"/>
  <c r="B1738" i="30"/>
  <c r="B1739" i="30"/>
  <c r="B1740" i="30"/>
  <c r="B1741" i="30"/>
  <c r="B1742" i="30"/>
  <c r="B1743" i="30"/>
  <c r="B1744" i="30"/>
  <c r="B1745" i="30"/>
  <c r="B1746" i="30"/>
  <c r="B1747" i="30"/>
  <c r="B1748" i="30"/>
  <c r="B1749" i="30"/>
  <c r="B1750" i="30"/>
  <c r="B1751" i="30"/>
  <c r="B1752" i="30"/>
  <c r="B1753" i="30"/>
  <c r="B1754" i="30"/>
  <c r="B1755" i="30"/>
  <c r="B1756" i="30"/>
  <c r="B1757" i="30"/>
  <c r="B1758" i="30"/>
  <c r="B1759" i="30"/>
  <c r="B1760" i="30"/>
  <c r="B1761" i="30"/>
  <c r="B1762" i="30"/>
  <c r="B1763" i="30"/>
  <c r="B1764" i="30"/>
  <c r="B1765" i="30"/>
  <c r="B1766" i="30"/>
  <c r="B1767" i="30"/>
  <c r="B1768" i="30"/>
  <c r="B1769" i="30"/>
  <c r="B1770" i="30"/>
  <c r="B1771" i="30"/>
  <c r="B1772" i="30"/>
  <c r="B1773" i="30"/>
  <c r="B1774" i="30"/>
  <c r="B1775" i="30"/>
  <c r="B1776" i="30"/>
  <c r="B1777" i="30"/>
  <c r="B1778" i="30"/>
  <c r="B1779" i="30"/>
  <c r="B1780" i="30"/>
  <c r="B1781" i="30"/>
  <c r="B1782" i="30"/>
  <c r="B1783" i="30"/>
  <c r="B1784" i="30"/>
  <c r="B1785" i="30"/>
  <c r="B1786" i="30"/>
  <c r="B1787" i="30"/>
  <c r="B1788" i="30"/>
  <c r="B1789" i="30"/>
  <c r="B1790" i="30"/>
  <c r="B1791" i="30"/>
  <c r="B1792" i="30"/>
  <c r="B1793" i="30"/>
  <c r="B1794" i="30"/>
  <c r="B1795" i="30"/>
  <c r="B1796" i="30"/>
  <c r="B1797" i="30"/>
  <c r="B1798" i="30"/>
  <c r="B1799" i="30"/>
  <c r="B1800" i="30"/>
  <c r="B1801" i="30"/>
  <c r="B1802" i="30"/>
  <c r="B4" i="30"/>
  <c r="B3" i="30"/>
  <c r="C3" i="30"/>
  <c r="B22" i="30"/>
  <c r="B21" i="30"/>
  <c r="B20" i="30"/>
  <c r="B19" i="30"/>
  <c r="B18" i="30"/>
  <c r="B17" i="30"/>
  <c r="B16" i="30"/>
  <c r="B15" i="30"/>
  <c r="B14" i="30"/>
  <c r="B13" i="30"/>
  <c r="B12" i="30"/>
  <c r="B11" i="30"/>
  <c r="B10" i="30"/>
  <c r="B9" i="30"/>
  <c r="B8" i="30"/>
  <c r="B7" i="30"/>
  <c r="B6" i="30"/>
  <c r="B5" i="30"/>
  <c r="C4" i="30" l="1"/>
  <c r="F43" i="33"/>
  <c r="K47" i="1"/>
  <c r="F33" i="29" l="1"/>
  <c r="F37" i="29"/>
  <c r="F41" i="29"/>
  <c r="F45" i="29"/>
  <c r="F49" i="29"/>
  <c r="F53" i="29"/>
  <c r="F57" i="29"/>
  <c r="F61" i="29"/>
  <c r="F65" i="29"/>
  <c r="F69" i="29"/>
  <c r="F73" i="29"/>
  <c r="F77" i="29"/>
  <c r="F81" i="29"/>
  <c r="F85" i="29"/>
  <c r="F89" i="29"/>
  <c r="F93" i="29"/>
  <c r="F97" i="29"/>
  <c r="F101" i="29"/>
  <c r="F105" i="29"/>
  <c r="F109" i="29"/>
  <c r="F113" i="29"/>
  <c r="F117" i="29"/>
  <c r="F121" i="29"/>
  <c r="F125" i="29"/>
  <c r="F129" i="29"/>
  <c r="F133" i="29"/>
  <c r="F137" i="29"/>
  <c r="F141" i="29"/>
  <c r="F145" i="29"/>
  <c r="F149" i="29"/>
  <c r="F153" i="29"/>
  <c r="F157" i="29"/>
  <c r="F161" i="29"/>
  <c r="F165" i="29"/>
  <c r="F169" i="29"/>
  <c r="F173" i="29"/>
  <c r="F177" i="29"/>
  <c r="F181" i="29"/>
  <c r="F215" i="29"/>
  <c r="F219" i="29"/>
  <c r="F223" i="29"/>
  <c r="F227" i="29"/>
  <c r="F231" i="29"/>
  <c r="F235" i="29"/>
  <c r="F239" i="29"/>
  <c r="F243" i="29"/>
  <c r="F247" i="29"/>
  <c r="F251" i="29"/>
  <c r="F255" i="29"/>
  <c r="F259" i="29"/>
  <c r="F263" i="29"/>
  <c r="F267" i="29"/>
  <c r="F271" i="29"/>
  <c r="F275" i="29"/>
  <c r="F279" i="29"/>
  <c r="F283" i="29"/>
  <c r="F287" i="29"/>
  <c r="F291" i="29"/>
  <c r="F295" i="29"/>
  <c r="F299" i="29"/>
  <c r="F303" i="29"/>
  <c r="F34" i="29"/>
  <c r="F38" i="29"/>
  <c r="F42" i="29"/>
  <c r="F46" i="29"/>
  <c r="F50" i="29"/>
  <c r="F54" i="29"/>
  <c r="F58" i="29"/>
  <c r="F62" i="29"/>
  <c r="F66" i="29"/>
  <c r="F70" i="29"/>
  <c r="F74" i="29"/>
  <c r="F78" i="29"/>
  <c r="F82" i="29"/>
  <c r="F86" i="29"/>
  <c r="F90" i="29"/>
  <c r="F94" i="29"/>
  <c r="F98" i="29"/>
  <c r="F102" i="29"/>
  <c r="F106" i="29"/>
  <c r="F110" i="29"/>
  <c r="F114" i="29"/>
  <c r="F118" i="29"/>
  <c r="F122" i="29"/>
  <c r="F126" i="29"/>
  <c r="F130" i="29"/>
  <c r="F134" i="29"/>
  <c r="F138" i="29"/>
  <c r="F142" i="29"/>
  <c r="F146" i="29"/>
  <c r="F150" i="29"/>
  <c r="F154" i="29"/>
  <c r="F158" i="29"/>
  <c r="F162" i="29"/>
  <c r="F166" i="29"/>
  <c r="F170" i="29"/>
  <c r="F174" i="29"/>
  <c r="F178" i="29"/>
  <c r="F182" i="29"/>
  <c r="F216" i="29"/>
  <c r="F220" i="29"/>
  <c r="F224" i="29"/>
  <c r="F228" i="29"/>
  <c r="F232" i="29"/>
  <c r="F236" i="29"/>
  <c r="F240" i="29"/>
  <c r="F244" i="29"/>
  <c r="F248" i="29"/>
  <c r="F252" i="29"/>
  <c r="F256" i="29"/>
  <c r="F260" i="29"/>
  <c r="F264" i="29"/>
  <c r="F268" i="29"/>
  <c r="F272" i="29"/>
  <c r="F276" i="29"/>
  <c r="F280" i="29"/>
  <c r="F284" i="29"/>
  <c r="F288" i="29"/>
  <c r="F292" i="29"/>
  <c r="F296" i="29"/>
  <c r="F300" i="29"/>
  <c r="F304" i="29"/>
  <c r="F308" i="29"/>
  <c r="F312" i="29"/>
  <c r="F316" i="29"/>
  <c r="F320" i="29"/>
  <c r="F324" i="29"/>
  <c r="F328" i="29"/>
  <c r="F332" i="29"/>
  <c r="F336" i="29"/>
  <c r="F340" i="29"/>
  <c r="F344" i="29"/>
  <c r="F348" i="29"/>
  <c r="F352" i="29"/>
  <c r="F356" i="29"/>
  <c r="F360" i="29"/>
  <c r="F395" i="29"/>
  <c r="F399" i="29"/>
  <c r="F403" i="29"/>
  <c r="F407" i="29"/>
  <c r="F36" i="29"/>
  <c r="F40" i="29"/>
  <c r="F44" i="29"/>
  <c r="F48" i="29"/>
  <c r="F52" i="29"/>
  <c r="F56" i="29"/>
  <c r="F60" i="29"/>
  <c r="F64" i="29"/>
  <c r="F68" i="29"/>
  <c r="F72" i="29"/>
  <c r="F76" i="29"/>
  <c r="F80" i="29"/>
  <c r="F84" i="29"/>
  <c r="F88" i="29"/>
  <c r="F92" i="29"/>
  <c r="F96" i="29"/>
  <c r="F100" i="29"/>
  <c r="F104" i="29"/>
  <c r="F108" i="29"/>
  <c r="F112" i="29"/>
  <c r="F116" i="29"/>
  <c r="F120" i="29"/>
  <c r="F124" i="29"/>
  <c r="F128" i="29"/>
  <c r="F132" i="29"/>
  <c r="F136" i="29"/>
  <c r="F140" i="29"/>
  <c r="F144" i="29"/>
  <c r="F148" i="29"/>
  <c r="F152" i="29"/>
  <c r="F156" i="29"/>
  <c r="F160" i="29"/>
  <c r="F164" i="29"/>
  <c r="F168" i="29"/>
  <c r="F172" i="29"/>
  <c r="F176" i="29"/>
  <c r="F180" i="29"/>
  <c r="F214" i="29"/>
  <c r="F218" i="29"/>
  <c r="F222" i="29"/>
  <c r="F226" i="29"/>
  <c r="F230" i="29"/>
  <c r="F234" i="29"/>
  <c r="F238" i="29"/>
  <c r="F242" i="29"/>
  <c r="F246" i="29"/>
  <c r="F250" i="29"/>
  <c r="F254" i="29"/>
  <c r="F258" i="29"/>
  <c r="F262" i="29"/>
  <c r="F266" i="29"/>
  <c r="F270" i="29"/>
  <c r="F274" i="29"/>
  <c r="F278" i="29"/>
  <c r="F282" i="29"/>
  <c r="F286" i="29"/>
  <c r="F290" i="29"/>
  <c r="F294" i="29"/>
  <c r="F298" i="29"/>
  <c r="F302" i="29"/>
  <c r="F306" i="29"/>
  <c r="F310" i="29"/>
  <c r="F314" i="29"/>
  <c r="F318" i="29"/>
  <c r="F322" i="29"/>
  <c r="F326" i="29"/>
  <c r="F330" i="29"/>
  <c r="F334" i="29"/>
  <c r="F338" i="29"/>
  <c r="F342" i="29"/>
  <c r="F346" i="29"/>
  <c r="F350" i="29"/>
  <c r="F354" i="29"/>
  <c r="F358" i="29"/>
  <c r="F393" i="29"/>
  <c r="F397" i="29"/>
  <c r="F401" i="29"/>
  <c r="F405" i="29"/>
  <c r="F409" i="29"/>
  <c r="F413" i="29"/>
  <c r="F417" i="29"/>
  <c r="F421" i="29"/>
  <c r="F425" i="29"/>
  <c r="F429" i="29"/>
  <c r="F433" i="29"/>
  <c r="F35" i="29"/>
  <c r="F51" i="29"/>
  <c r="F67" i="29"/>
  <c r="F83" i="29"/>
  <c r="F99" i="29"/>
  <c r="F115" i="29"/>
  <c r="F131" i="29"/>
  <c r="F147" i="29"/>
  <c r="F163" i="29"/>
  <c r="F179" i="29"/>
  <c r="F225" i="29"/>
  <c r="F241" i="29"/>
  <c r="F257" i="29"/>
  <c r="F273" i="29"/>
  <c r="F289" i="29"/>
  <c r="F305" i="29"/>
  <c r="F313" i="29"/>
  <c r="F321" i="29"/>
  <c r="F329" i="29"/>
  <c r="F337" i="29"/>
  <c r="F345" i="29"/>
  <c r="F353" i="29"/>
  <c r="F361" i="29"/>
  <c r="F400" i="29"/>
  <c r="F408" i="29"/>
  <c r="F414" i="29"/>
  <c r="F419" i="29"/>
  <c r="F424" i="29"/>
  <c r="F430" i="29"/>
  <c r="F435" i="29"/>
  <c r="F439" i="29"/>
  <c r="F443" i="29"/>
  <c r="F447" i="29"/>
  <c r="F451" i="29"/>
  <c r="F455" i="29"/>
  <c r="F459" i="29"/>
  <c r="F463" i="29"/>
  <c r="F467" i="29"/>
  <c r="F471" i="29"/>
  <c r="F475" i="29"/>
  <c r="F479" i="29"/>
  <c r="F483" i="29"/>
  <c r="F487" i="29"/>
  <c r="F491" i="29"/>
  <c r="F495" i="29"/>
  <c r="F499" i="29"/>
  <c r="F503" i="29"/>
  <c r="F507" i="29"/>
  <c r="F511" i="29"/>
  <c r="F515" i="29"/>
  <c r="F519" i="29"/>
  <c r="F523" i="29"/>
  <c r="F527" i="29"/>
  <c r="F531" i="29"/>
  <c r="F535" i="29"/>
  <c r="F539" i="29"/>
  <c r="F574" i="29"/>
  <c r="F578" i="29"/>
  <c r="F582" i="29"/>
  <c r="F586" i="29"/>
  <c r="F590" i="29"/>
  <c r="F594" i="29"/>
  <c r="F598" i="29"/>
  <c r="F602" i="29"/>
  <c r="F606" i="29"/>
  <c r="F610" i="29"/>
  <c r="F614" i="29"/>
  <c r="F618" i="29"/>
  <c r="F622" i="29"/>
  <c r="F626" i="29"/>
  <c r="F630" i="29"/>
  <c r="F634" i="29"/>
  <c r="F638" i="29"/>
  <c r="F642" i="29"/>
  <c r="F646" i="29"/>
  <c r="F650" i="29"/>
  <c r="F654" i="29"/>
  <c r="F658" i="29"/>
  <c r="F662" i="29"/>
  <c r="F666" i="29"/>
  <c r="F670" i="29"/>
  <c r="F674" i="29"/>
  <c r="F678" i="29"/>
  <c r="F682" i="29"/>
  <c r="F686" i="29"/>
  <c r="F39" i="29"/>
  <c r="F55" i="29"/>
  <c r="F71" i="29"/>
  <c r="F87" i="29"/>
  <c r="F103" i="29"/>
  <c r="F119" i="29"/>
  <c r="F135" i="29"/>
  <c r="F151" i="29"/>
  <c r="F167" i="29"/>
  <c r="F213" i="29"/>
  <c r="F229" i="29"/>
  <c r="F245" i="29"/>
  <c r="F261" i="29"/>
  <c r="F277" i="29"/>
  <c r="F293" i="29"/>
  <c r="F307" i="29"/>
  <c r="F315" i="29"/>
  <c r="F323" i="29"/>
  <c r="F331" i="29"/>
  <c r="F339" i="29"/>
  <c r="F347" i="29"/>
  <c r="F355" i="29"/>
  <c r="F394" i="29"/>
  <c r="F402" i="29"/>
  <c r="F410" i="29"/>
  <c r="F415" i="29"/>
  <c r="F420" i="29"/>
  <c r="F426" i="29"/>
  <c r="F431" i="29"/>
  <c r="F436" i="29"/>
  <c r="F440" i="29"/>
  <c r="F444" i="29"/>
  <c r="F448" i="29"/>
  <c r="F452" i="29"/>
  <c r="F456" i="29"/>
  <c r="F460" i="29"/>
  <c r="F464" i="29"/>
  <c r="F468" i="29"/>
  <c r="F472" i="29"/>
  <c r="F476" i="29"/>
  <c r="F480" i="29"/>
  <c r="F484" i="29"/>
  <c r="F488" i="29"/>
  <c r="F492" i="29"/>
  <c r="F496" i="29"/>
  <c r="F500" i="29"/>
  <c r="F504" i="29"/>
  <c r="F508" i="29"/>
  <c r="F512" i="29"/>
  <c r="F47" i="29"/>
  <c r="F63" i="29"/>
  <c r="F79" i="29"/>
  <c r="F95" i="29"/>
  <c r="F111" i="29"/>
  <c r="F127" i="29"/>
  <c r="F143" i="29"/>
  <c r="F159" i="29"/>
  <c r="F175" i="29"/>
  <c r="F221" i="29"/>
  <c r="F237" i="29"/>
  <c r="F253" i="29"/>
  <c r="F269" i="29"/>
  <c r="F285" i="29"/>
  <c r="F301" i="29"/>
  <c r="F311" i="29"/>
  <c r="F319" i="29"/>
  <c r="F327" i="29"/>
  <c r="F335" i="29"/>
  <c r="F343" i="29"/>
  <c r="F351" i="29"/>
  <c r="F359" i="29"/>
  <c r="F398" i="29"/>
  <c r="F406" i="29"/>
  <c r="F412" i="29"/>
  <c r="F418" i="29"/>
  <c r="F423" i="29"/>
  <c r="F428" i="29"/>
  <c r="F434" i="29"/>
  <c r="F438" i="29"/>
  <c r="F442" i="29"/>
  <c r="F446" i="29"/>
  <c r="F450" i="29"/>
  <c r="F454" i="29"/>
  <c r="F458" i="29"/>
  <c r="F462" i="29"/>
  <c r="F466" i="29"/>
  <c r="F470" i="29"/>
  <c r="F474" i="29"/>
  <c r="F478" i="29"/>
  <c r="F482" i="29"/>
  <c r="F486" i="29"/>
  <c r="F490" i="29"/>
  <c r="F494" i="29"/>
  <c r="F498" i="29"/>
  <c r="F502" i="29"/>
  <c r="F506" i="29"/>
  <c r="F510" i="29"/>
  <c r="F514" i="29"/>
  <c r="F518" i="29"/>
  <c r="F522" i="29"/>
  <c r="F526" i="29"/>
  <c r="F530" i="29"/>
  <c r="F534" i="29"/>
  <c r="F538" i="29"/>
  <c r="F573" i="29"/>
  <c r="F577" i="29"/>
  <c r="F581" i="29"/>
  <c r="F585" i="29"/>
  <c r="F589" i="29"/>
  <c r="F593" i="29"/>
  <c r="F597" i="29"/>
  <c r="F601" i="29"/>
  <c r="F605" i="29"/>
  <c r="F609" i="29"/>
  <c r="F613" i="29"/>
  <c r="F617" i="29"/>
  <c r="F621" i="29"/>
  <c r="F625" i="29"/>
  <c r="F629" i="29"/>
  <c r="F633" i="29"/>
  <c r="F637" i="29"/>
  <c r="F641" i="29"/>
  <c r="F645" i="29"/>
  <c r="F649" i="29"/>
  <c r="F653" i="29"/>
  <c r="F657" i="29"/>
  <c r="F661" i="29"/>
  <c r="F665" i="29"/>
  <c r="F669" i="29"/>
  <c r="F673" i="29"/>
  <c r="F677" i="29"/>
  <c r="F681" i="29"/>
  <c r="F685" i="29"/>
  <c r="F689" i="29"/>
  <c r="F693" i="29"/>
  <c r="F697" i="29"/>
  <c r="F701" i="29"/>
  <c r="F43" i="29"/>
  <c r="F107" i="29"/>
  <c r="F171" i="29"/>
  <c r="F265" i="29"/>
  <c r="F317" i="29"/>
  <c r="F349" i="29"/>
  <c r="F411" i="29"/>
  <c r="F432" i="29"/>
  <c r="F449" i="29"/>
  <c r="F465" i="29"/>
  <c r="F481" i="29"/>
  <c r="F497" i="29"/>
  <c r="F513" i="29"/>
  <c r="F521" i="29"/>
  <c r="F529" i="29"/>
  <c r="F537" i="29"/>
  <c r="F576" i="29"/>
  <c r="F584" i="29"/>
  <c r="F592" i="29"/>
  <c r="F600" i="29"/>
  <c r="F608" i="29"/>
  <c r="F616" i="29"/>
  <c r="F624" i="29"/>
  <c r="F632" i="29"/>
  <c r="F640" i="29"/>
  <c r="F648" i="29"/>
  <c r="F656" i="29"/>
  <c r="F664" i="29"/>
  <c r="F672" i="29"/>
  <c r="F680" i="29"/>
  <c r="F688" i="29"/>
  <c r="F694" i="29"/>
  <c r="F699" i="29"/>
  <c r="F704" i="29"/>
  <c r="F708" i="29"/>
  <c r="F712" i="29"/>
  <c r="F716" i="29"/>
  <c r="F720" i="29"/>
  <c r="F755" i="29"/>
  <c r="F759" i="29"/>
  <c r="F763" i="29"/>
  <c r="F767" i="29"/>
  <c r="F771" i="29"/>
  <c r="F775" i="29"/>
  <c r="F779" i="29"/>
  <c r="F783" i="29"/>
  <c r="F787" i="29"/>
  <c r="F791" i="29"/>
  <c r="F795" i="29"/>
  <c r="F799" i="29"/>
  <c r="F803" i="29"/>
  <c r="F807" i="29"/>
  <c r="F811" i="29"/>
  <c r="F815" i="29"/>
  <c r="F819" i="29"/>
  <c r="F823" i="29"/>
  <c r="F827" i="29"/>
  <c r="F831" i="29"/>
  <c r="F835" i="29"/>
  <c r="F839" i="29"/>
  <c r="F843" i="29"/>
  <c r="F847" i="29"/>
  <c r="F851" i="29"/>
  <c r="F855" i="29"/>
  <c r="F859" i="29"/>
  <c r="F863" i="29"/>
  <c r="F867" i="29"/>
  <c r="F871" i="29"/>
  <c r="F875" i="29"/>
  <c r="F879" i="29"/>
  <c r="F883" i="29"/>
  <c r="F887" i="29"/>
  <c r="F891" i="29"/>
  <c r="F895" i="29"/>
  <c r="F899" i="29"/>
  <c r="F934" i="29"/>
  <c r="F938" i="29"/>
  <c r="F942" i="29"/>
  <c r="F946" i="29"/>
  <c r="F950" i="29"/>
  <c r="F954" i="29"/>
  <c r="F958" i="29"/>
  <c r="F962" i="29"/>
  <c r="F966" i="29"/>
  <c r="F970" i="29"/>
  <c r="F974" i="29"/>
  <c r="F978" i="29"/>
  <c r="F982" i="29"/>
  <c r="F986" i="29"/>
  <c r="F990" i="29"/>
  <c r="F994" i="29"/>
  <c r="F998" i="29"/>
  <c r="F1002" i="29"/>
  <c r="F1006" i="29"/>
  <c r="F1010" i="29"/>
  <c r="F1014" i="29"/>
  <c r="F1018" i="29"/>
  <c r="F1022" i="29"/>
  <c r="F1026" i="29"/>
  <c r="F1030" i="29"/>
  <c r="F1034" i="29"/>
  <c r="F1038" i="29"/>
  <c r="F1042" i="29"/>
  <c r="F1046" i="29"/>
  <c r="F1050" i="29"/>
  <c r="F1054" i="29"/>
  <c r="F1058" i="29"/>
  <c r="F1062" i="29"/>
  <c r="F1066" i="29"/>
  <c r="F1070" i="29"/>
  <c r="F1074" i="29"/>
  <c r="F1078" i="29"/>
  <c r="F1113" i="29"/>
  <c r="F1117" i="29"/>
  <c r="F1121" i="29"/>
  <c r="F1125" i="29"/>
  <c r="F1129" i="29"/>
  <c r="F1133" i="29"/>
  <c r="F1137" i="29"/>
  <c r="F1141" i="29"/>
  <c r="F1145" i="29"/>
  <c r="F1149" i="29"/>
  <c r="F1153" i="29"/>
  <c r="F1157" i="29"/>
  <c r="F1161" i="29"/>
  <c r="F1165" i="29"/>
  <c r="F1169" i="29"/>
  <c r="F1173" i="29"/>
  <c r="F1177" i="29"/>
  <c r="F1181" i="29"/>
  <c r="F1185" i="29"/>
  <c r="F1189" i="29"/>
  <c r="F1193" i="29"/>
  <c r="F1197" i="29"/>
  <c r="F1201" i="29"/>
  <c r="F1205" i="29"/>
  <c r="F1209" i="29"/>
  <c r="F1213" i="29"/>
  <c r="F1217" i="29"/>
  <c r="F1221" i="29"/>
  <c r="F1225" i="29"/>
  <c r="F1229" i="29"/>
  <c r="F1233" i="29"/>
  <c r="F1237" i="29"/>
  <c r="F1241" i="29"/>
  <c r="F1245" i="29"/>
  <c r="F1249" i="29"/>
  <c r="F1253" i="29"/>
  <c r="F59" i="29"/>
  <c r="F123" i="29"/>
  <c r="F217" i="29"/>
  <c r="F281" i="29"/>
  <c r="F325" i="29"/>
  <c r="F357" i="29"/>
  <c r="F416" i="29"/>
  <c r="F437" i="29"/>
  <c r="F453" i="29"/>
  <c r="F469" i="29"/>
  <c r="F485" i="29"/>
  <c r="F501" i="29"/>
  <c r="F516" i="29"/>
  <c r="F524" i="29"/>
  <c r="F532" i="29"/>
  <c r="F540" i="29"/>
  <c r="F579" i="29"/>
  <c r="F587" i="29"/>
  <c r="F595" i="29"/>
  <c r="F603" i="29"/>
  <c r="F611" i="29"/>
  <c r="F619" i="29"/>
  <c r="F627" i="29"/>
  <c r="F635" i="29"/>
  <c r="F643" i="29"/>
  <c r="F651" i="29"/>
  <c r="F659" i="29"/>
  <c r="F667" i="29"/>
  <c r="F675" i="29"/>
  <c r="F683" i="29"/>
  <c r="F690" i="29"/>
  <c r="F695" i="29"/>
  <c r="F700" i="29"/>
  <c r="F705" i="29"/>
  <c r="F709" i="29"/>
  <c r="F713" i="29"/>
  <c r="F717" i="29"/>
  <c r="F721" i="29"/>
  <c r="F756" i="29"/>
  <c r="F760" i="29"/>
  <c r="F764" i="29"/>
  <c r="F768" i="29"/>
  <c r="F772" i="29"/>
  <c r="F776" i="29"/>
  <c r="F780" i="29"/>
  <c r="F784" i="29"/>
  <c r="F788" i="29"/>
  <c r="F792" i="29"/>
  <c r="F796" i="29"/>
  <c r="F800" i="29"/>
  <c r="F804" i="29"/>
  <c r="F808" i="29"/>
  <c r="F812" i="29"/>
  <c r="F816" i="29"/>
  <c r="F820" i="29"/>
  <c r="F824" i="29"/>
  <c r="F828" i="29"/>
  <c r="F832" i="29"/>
  <c r="F836" i="29"/>
  <c r="F840" i="29"/>
  <c r="F844" i="29"/>
  <c r="F848" i="29"/>
  <c r="F852" i="29"/>
  <c r="F856" i="29"/>
  <c r="F860" i="29"/>
  <c r="F864" i="29"/>
  <c r="F868" i="29"/>
  <c r="F872" i="29"/>
  <c r="F876" i="29"/>
  <c r="F880" i="29"/>
  <c r="F884" i="29"/>
  <c r="F888" i="29"/>
  <c r="F892" i="29"/>
  <c r="F896" i="29"/>
  <c r="F900" i="29"/>
  <c r="F935" i="29"/>
  <c r="F939" i="29"/>
  <c r="F943" i="29"/>
  <c r="F947" i="29"/>
  <c r="F951" i="29"/>
  <c r="F955" i="29"/>
  <c r="F959" i="29"/>
  <c r="F963" i="29"/>
  <c r="F967" i="29"/>
  <c r="F971" i="29"/>
  <c r="F91" i="29"/>
  <c r="F155" i="29"/>
  <c r="F249" i="29"/>
  <c r="F309" i="29"/>
  <c r="F341" i="29"/>
  <c r="F404" i="29"/>
  <c r="F427" i="29"/>
  <c r="F445" i="29"/>
  <c r="F461" i="29"/>
  <c r="F477" i="29"/>
  <c r="F493" i="29"/>
  <c r="F509" i="29"/>
  <c r="F520" i="29"/>
  <c r="F528" i="29"/>
  <c r="F536" i="29"/>
  <c r="F575" i="29"/>
  <c r="F583" i="29"/>
  <c r="F591" i="29"/>
  <c r="F599" i="29"/>
  <c r="F607" i="29"/>
  <c r="F615" i="29"/>
  <c r="F623" i="29"/>
  <c r="F631" i="29"/>
  <c r="F639" i="29"/>
  <c r="F647" i="29"/>
  <c r="F655" i="29"/>
  <c r="F663" i="29"/>
  <c r="F671" i="29"/>
  <c r="F679" i="29"/>
  <c r="F687" i="29"/>
  <c r="F692" i="29"/>
  <c r="F698" i="29"/>
  <c r="F703" i="29"/>
  <c r="F707" i="29"/>
  <c r="F711" i="29"/>
  <c r="F715" i="29"/>
  <c r="F719" i="29"/>
  <c r="F754" i="29"/>
  <c r="F758" i="29"/>
  <c r="F762" i="29"/>
  <c r="F766" i="29"/>
  <c r="F770" i="29"/>
  <c r="F774" i="29"/>
  <c r="F778" i="29"/>
  <c r="F782" i="29"/>
  <c r="F786" i="29"/>
  <c r="F790" i="29"/>
  <c r="F794" i="29"/>
  <c r="F798" i="29"/>
  <c r="F802" i="29"/>
  <c r="F806" i="29"/>
  <c r="F810" i="29"/>
  <c r="F814" i="29"/>
  <c r="F818" i="29"/>
  <c r="F822" i="29"/>
  <c r="F826" i="29"/>
  <c r="F830" i="29"/>
  <c r="F834" i="29"/>
  <c r="F838" i="29"/>
  <c r="F842" i="29"/>
  <c r="F846" i="29"/>
  <c r="F850" i="29"/>
  <c r="F854" i="29"/>
  <c r="F858" i="29"/>
  <c r="F862" i="29"/>
  <c r="F866" i="29"/>
  <c r="F870" i="29"/>
  <c r="F874" i="29"/>
  <c r="F878" i="29"/>
  <c r="F882" i="29"/>
  <c r="F886" i="29"/>
  <c r="F890" i="29"/>
  <c r="F894" i="29"/>
  <c r="F898" i="29"/>
  <c r="F933" i="29"/>
  <c r="F937" i="29"/>
  <c r="F941" i="29"/>
  <c r="F945" i="29"/>
  <c r="F949" i="29"/>
  <c r="F953" i="29"/>
  <c r="F957" i="29"/>
  <c r="F961" i="29"/>
  <c r="F965" i="29"/>
  <c r="F969" i="29"/>
  <c r="F973" i="29"/>
  <c r="F977" i="29"/>
  <c r="F981" i="29"/>
  <c r="F985" i="29"/>
  <c r="F989" i="29"/>
  <c r="F993" i="29"/>
  <c r="F997" i="29"/>
  <c r="F1001" i="29"/>
  <c r="F1005" i="29"/>
  <c r="F1009" i="29"/>
  <c r="F1013" i="29"/>
  <c r="F1017" i="29"/>
  <c r="F1021" i="29"/>
  <c r="F1025" i="29"/>
  <c r="F1029" i="29"/>
  <c r="F1033" i="29"/>
  <c r="F1037" i="29"/>
  <c r="F1041" i="29"/>
  <c r="F1045" i="29"/>
  <c r="F1049" i="29"/>
  <c r="F1053" i="29"/>
  <c r="F1057" i="29"/>
  <c r="F1061" i="29"/>
  <c r="F1065" i="29"/>
  <c r="F1069" i="29"/>
  <c r="F1073" i="29"/>
  <c r="F1077" i="29"/>
  <c r="F1081" i="29"/>
  <c r="F1116" i="29"/>
  <c r="F1120" i="29"/>
  <c r="F1124" i="29"/>
  <c r="F1128" i="29"/>
  <c r="F1132" i="29"/>
  <c r="F1136" i="29"/>
  <c r="F1140" i="29"/>
  <c r="F1144" i="29"/>
  <c r="F1148" i="29"/>
  <c r="F1152" i="29"/>
  <c r="F1156" i="29"/>
  <c r="F1160" i="29"/>
  <c r="F1164" i="29"/>
  <c r="F1168" i="29"/>
  <c r="F1172" i="29"/>
  <c r="F1176" i="29"/>
  <c r="F1180" i="29"/>
  <c r="F1184" i="29"/>
  <c r="F1188" i="29"/>
  <c r="F1192" i="29"/>
  <c r="F1196" i="29"/>
  <c r="F1200" i="29"/>
  <c r="F1204" i="29"/>
  <c r="F1208" i="29"/>
  <c r="F1212" i="29"/>
  <c r="F1216" i="29"/>
  <c r="F1220" i="29"/>
  <c r="F1224" i="29"/>
  <c r="F1228" i="29"/>
  <c r="F1232" i="29"/>
  <c r="F1236" i="29"/>
  <c r="F1240" i="29"/>
  <c r="F1244" i="29"/>
  <c r="F1248" i="29"/>
  <c r="F1252" i="29"/>
  <c r="F1256" i="29"/>
  <c r="F1260" i="29"/>
  <c r="F1295" i="29"/>
  <c r="F1299" i="29"/>
  <c r="F1303" i="29"/>
  <c r="F1307" i="29"/>
  <c r="F75" i="29"/>
  <c r="F333" i="29"/>
  <c r="F457" i="29"/>
  <c r="F517" i="29"/>
  <c r="F580" i="29"/>
  <c r="F612" i="29"/>
  <c r="F644" i="29"/>
  <c r="F676" i="29"/>
  <c r="F702" i="29"/>
  <c r="F718" i="29"/>
  <c r="F765" i="29"/>
  <c r="F781" i="29"/>
  <c r="F797" i="29"/>
  <c r="F813" i="29"/>
  <c r="F829" i="29"/>
  <c r="F845" i="29"/>
  <c r="F861" i="29"/>
  <c r="F877" i="29"/>
  <c r="F893" i="29"/>
  <c r="F940" i="29"/>
  <c r="F956" i="29"/>
  <c r="F972" i="29"/>
  <c r="F980" i="29"/>
  <c r="F988" i="29"/>
  <c r="F996" i="29"/>
  <c r="F1004" i="29"/>
  <c r="F1012" i="29"/>
  <c r="F1020" i="29"/>
  <c r="F1028" i="29"/>
  <c r="F1036" i="29"/>
  <c r="F1044" i="29"/>
  <c r="F1052" i="29"/>
  <c r="F1060" i="29"/>
  <c r="F1068" i="29"/>
  <c r="F1076" i="29"/>
  <c r="F1115" i="29"/>
  <c r="F1123" i="29"/>
  <c r="F1131" i="29"/>
  <c r="F1139" i="29"/>
  <c r="F1147" i="29"/>
  <c r="F1155" i="29"/>
  <c r="F1163" i="29"/>
  <c r="F1171" i="29"/>
  <c r="F1179" i="29"/>
  <c r="F1187" i="29"/>
  <c r="F1195" i="29"/>
  <c r="F1203" i="29"/>
  <c r="F1211" i="29"/>
  <c r="F1219" i="29"/>
  <c r="F1227" i="29"/>
  <c r="F1235" i="29"/>
  <c r="F1243" i="29"/>
  <c r="F1251" i="29"/>
  <c r="F1258" i="29"/>
  <c r="F1294" i="29"/>
  <c r="F1300" i="29"/>
  <c r="F1305" i="29"/>
  <c r="F1310" i="29"/>
  <c r="F1314" i="29"/>
  <c r="F1318" i="29"/>
  <c r="F1322" i="29"/>
  <c r="F1326" i="29"/>
  <c r="F1330" i="29"/>
  <c r="F1334" i="29"/>
  <c r="F1338" i="29"/>
  <c r="F1342" i="29"/>
  <c r="F1346" i="29"/>
  <c r="F1350" i="29"/>
  <c r="F1354" i="29"/>
  <c r="F1358" i="29"/>
  <c r="F1362" i="29"/>
  <c r="F1366" i="29"/>
  <c r="F1370" i="29"/>
  <c r="F1374" i="29"/>
  <c r="F1378" i="29"/>
  <c r="F1382" i="29"/>
  <c r="F1386" i="29"/>
  <c r="F1390" i="29"/>
  <c r="F1394" i="29"/>
  <c r="F1398" i="29"/>
  <c r="F1402" i="29"/>
  <c r="F1406" i="29"/>
  <c r="F1410" i="29"/>
  <c r="F1414" i="29"/>
  <c r="F1418" i="29"/>
  <c r="F1422" i="29"/>
  <c r="F1426" i="29"/>
  <c r="F1430" i="29"/>
  <c r="F1434" i="29"/>
  <c r="F1438" i="29"/>
  <c r="F1473" i="29"/>
  <c r="F1477" i="29"/>
  <c r="F1481" i="29"/>
  <c r="F1485" i="29"/>
  <c r="F1489" i="29"/>
  <c r="F1493" i="29"/>
  <c r="F1497" i="29"/>
  <c r="F1501" i="29"/>
  <c r="F1505" i="29"/>
  <c r="F1509" i="29"/>
  <c r="F1513" i="29"/>
  <c r="F1517" i="29"/>
  <c r="F1521" i="29"/>
  <c r="F1525" i="29"/>
  <c r="F1529" i="29"/>
  <c r="F1533" i="29"/>
  <c r="F1537" i="29"/>
  <c r="F1541" i="29"/>
  <c r="F1545" i="29"/>
  <c r="F1549" i="29"/>
  <c r="F1553" i="29"/>
  <c r="F1557" i="29"/>
  <c r="F1561" i="29"/>
  <c r="F1565" i="29"/>
  <c r="F1569" i="29"/>
  <c r="F1573" i="29"/>
  <c r="F1577" i="29"/>
  <c r="F1581" i="29"/>
  <c r="F1585" i="29"/>
  <c r="F1589" i="29"/>
  <c r="F1593" i="29"/>
  <c r="F1597" i="29"/>
  <c r="F1601" i="29"/>
  <c r="F1605" i="29"/>
  <c r="F1609" i="29"/>
  <c r="F1613" i="29"/>
  <c r="F1617" i="29"/>
  <c r="F1621" i="29"/>
  <c r="F1656" i="29"/>
  <c r="F1660" i="29"/>
  <c r="F1664" i="29"/>
  <c r="F1668" i="29"/>
  <c r="F1672" i="29"/>
  <c r="F1676" i="29"/>
  <c r="F1680" i="29"/>
  <c r="F1684" i="29"/>
  <c r="F1688" i="29"/>
  <c r="F1692" i="29"/>
  <c r="F1696" i="29"/>
  <c r="F1700" i="29"/>
  <c r="F1704" i="29"/>
  <c r="F1708" i="29"/>
  <c r="F1712" i="29"/>
  <c r="F1716" i="29"/>
  <c r="F1720" i="29"/>
  <c r="F1724" i="29"/>
  <c r="F1728" i="29"/>
  <c r="F1732" i="29"/>
  <c r="F1736" i="29"/>
  <c r="F1740" i="29"/>
  <c r="F1744" i="29"/>
  <c r="F1748" i="29"/>
  <c r="F1752" i="29"/>
  <c r="F1756" i="29"/>
  <c r="F1760" i="29"/>
  <c r="F1764" i="29"/>
  <c r="F1768" i="29"/>
  <c r="F1772" i="29"/>
  <c r="F139" i="29"/>
  <c r="F396" i="29"/>
  <c r="F473" i="29"/>
  <c r="F525" i="29"/>
  <c r="F588" i="29"/>
  <c r="F620" i="29"/>
  <c r="F652" i="29"/>
  <c r="F684" i="29"/>
  <c r="F706" i="29"/>
  <c r="F753" i="29"/>
  <c r="F769" i="29"/>
  <c r="F785" i="29"/>
  <c r="F801" i="29"/>
  <c r="F817" i="29"/>
  <c r="F833" i="29"/>
  <c r="F849" i="29"/>
  <c r="F865" i="29"/>
  <c r="F881" i="29"/>
  <c r="F897" i="29"/>
  <c r="F944" i="29"/>
  <c r="F960" i="29"/>
  <c r="F975" i="29"/>
  <c r="F983" i="29"/>
  <c r="F991" i="29"/>
  <c r="F999" i="29"/>
  <c r="F1007" i="29"/>
  <c r="F1015" i="29"/>
  <c r="F1023" i="29"/>
  <c r="F1031" i="29"/>
  <c r="F1039" i="29"/>
  <c r="F1047" i="29"/>
  <c r="F1055" i="29"/>
  <c r="F1063" i="29"/>
  <c r="F1071" i="29"/>
  <c r="F1079" i="29"/>
  <c r="F1118" i="29"/>
  <c r="F1126" i="29"/>
  <c r="F1134" i="29"/>
  <c r="F1142" i="29"/>
  <c r="F1150" i="29"/>
  <c r="F1158" i="29"/>
  <c r="F1166" i="29"/>
  <c r="F1174" i="29"/>
  <c r="F1182" i="29"/>
  <c r="F1190" i="29"/>
  <c r="F1198" i="29"/>
  <c r="F1206" i="29"/>
  <c r="F1214" i="29"/>
  <c r="F1222" i="29"/>
  <c r="F1230" i="29"/>
  <c r="F1238" i="29"/>
  <c r="F1246" i="29"/>
  <c r="F1254" i="29"/>
  <c r="F1259" i="29"/>
  <c r="F1296" i="29"/>
  <c r="F1301" i="29"/>
  <c r="F1306" i="29"/>
  <c r="F1311" i="29"/>
  <c r="F1315" i="29"/>
  <c r="F1319" i="29"/>
  <c r="F1323" i="29"/>
  <c r="F1327" i="29"/>
  <c r="F1331" i="29"/>
  <c r="F1335" i="29"/>
  <c r="F1339" i="29"/>
  <c r="F1343" i="29"/>
  <c r="F1347" i="29"/>
  <c r="F1351" i="29"/>
  <c r="F1355" i="29"/>
  <c r="F1359" i="29"/>
  <c r="F1363" i="29"/>
  <c r="F1367" i="29"/>
  <c r="F1371" i="29"/>
  <c r="F1375" i="29"/>
  <c r="F1379" i="29"/>
  <c r="F1383" i="29"/>
  <c r="F1387" i="29"/>
  <c r="F1391" i="29"/>
  <c r="F1395" i="29"/>
  <c r="F1399" i="29"/>
  <c r="F1403" i="29"/>
  <c r="F1407" i="29"/>
  <c r="F1411" i="29"/>
  <c r="F1415" i="29"/>
  <c r="F1419" i="29"/>
  <c r="F1423" i="29"/>
  <c r="F1427" i="29"/>
  <c r="F1431" i="29"/>
  <c r="F1435" i="29"/>
  <c r="F1439" i="29"/>
  <c r="F1474" i="29"/>
  <c r="F1478" i="29"/>
  <c r="F1482" i="29"/>
  <c r="F1486" i="29"/>
  <c r="F1490" i="29"/>
  <c r="F1494" i="29"/>
  <c r="F1498" i="29"/>
  <c r="F1502" i="29"/>
  <c r="F1506" i="29"/>
  <c r="F1510" i="29"/>
  <c r="F1514" i="29"/>
  <c r="F1518" i="29"/>
  <c r="F1522" i="29"/>
  <c r="F1526" i="29"/>
  <c r="F1530" i="29"/>
  <c r="F1534" i="29"/>
  <c r="F1538" i="29"/>
  <c r="F1542" i="29"/>
  <c r="F1546" i="29"/>
  <c r="F1550" i="29"/>
  <c r="F1554" i="29"/>
  <c r="F1558" i="29"/>
  <c r="F1562" i="29"/>
  <c r="F1566" i="29"/>
  <c r="F1570" i="29"/>
  <c r="F1574" i="29"/>
  <c r="F1578" i="29"/>
  <c r="F1582" i="29"/>
  <c r="F297" i="29"/>
  <c r="F441" i="29"/>
  <c r="F505" i="29"/>
  <c r="F541" i="29"/>
  <c r="F604" i="29"/>
  <c r="F636" i="29"/>
  <c r="F668" i="29"/>
  <c r="F696" i="29"/>
  <c r="F714" i="29"/>
  <c r="F761" i="29"/>
  <c r="F777" i="29"/>
  <c r="F793" i="29"/>
  <c r="F809" i="29"/>
  <c r="F825" i="29"/>
  <c r="F841" i="29"/>
  <c r="F857" i="29"/>
  <c r="F873" i="29"/>
  <c r="F889" i="29"/>
  <c r="F936" i="29"/>
  <c r="F952" i="29"/>
  <c r="F968" i="29"/>
  <c r="F979" i="29"/>
  <c r="F987" i="29"/>
  <c r="F995" i="29"/>
  <c r="F1003" i="29"/>
  <c r="F1011" i="29"/>
  <c r="F1019" i="29"/>
  <c r="F1027" i="29"/>
  <c r="F1035" i="29"/>
  <c r="F1043" i="29"/>
  <c r="F1051" i="29"/>
  <c r="F1059" i="29"/>
  <c r="F1067" i="29"/>
  <c r="F1075" i="29"/>
  <c r="F1114" i="29"/>
  <c r="F1122" i="29"/>
  <c r="F1130" i="29"/>
  <c r="F1138" i="29"/>
  <c r="F1146" i="29"/>
  <c r="F1154" i="29"/>
  <c r="F1162" i="29"/>
  <c r="F1170" i="29"/>
  <c r="F1178" i="29"/>
  <c r="F1186" i="29"/>
  <c r="F1194" i="29"/>
  <c r="F1202" i="29"/>
  <c r="F1210" i="29"/>
  <c r="F1218" i="29"/>
  <c r="F1226" i="29"/>
  <c r="F1234" i="29"/>
  <c r="F1242" i="29"/>
  <c r="F1250" i="29"/>
  <c r="F1257" i="29"/>
  <c r="F1293" i="29"/>
  <c r="F1298" i="29"/>
  <c r="F1304" i="29"/>
  <c r="F1309" i="29"/>
  <c r="F1313" i="29"/>
  <c r="F1317" i="29"/>
  <c r="F1321" i="29"/>
  <c r="F1325" i="29"/>
  <c r="F1329" i="29"/>
  <c r="F1333" i="29"/>
  <c r="F1337" i="29"/>
  <c r="F1341" i="29"/>
  <c r="F1345" i="29"/>
  <c r="F1349" i="29"/>
  <c r="F1353" i="29"/>
  <c r="F1357" i="29"/>
  <c r="F1361" i="29"/>
  <c r="F1365" i="29"/>
  <c r="F1369" i="29"/>
  <c r="F1373" i="29"/>
  <c r="F1377" i="29"/>
  <c r="F1381" i="29"/>
  <c r="F1385" i="29"/>
  <c r="F1389" i="29"/>
  <c r="F1393" i="29"/>
  <c r="F1397" i="29"/>
  <c r="F1401" i="29"/>
  <c r="F1405" i="29"/>
  <c r="F1409" i="29"/>
  <c r="F1413" i="29"/>
  <c r="F1417" i="29"/>
  <c r="F1421" i="29"/>
  <c r="F1425" i="29"/>
  <c r="F1429" i="29"/>
  <c r="F1433" i="29"/>
  <c r="F1437" i="29"/>
  <c r="F1441" i="29"/>
  <c r="F1476" i="29"/>
  <c r="F1480" i="29"/>
  <c r="F1484" i="29"/>
  <c r="F1488" i="29"/>
  <c r="F1492" i="29"/>
  <c r="F1496" i="29"/>
  <c r="F1500" i="29"/>
  <c r="F1504" i="29"/>
  <c r="F1508" i="29"/>
  <c r="F1512" i="29"/>
  <c r="F1516" i="29"/>
  <c r="F1520" i="29"/>
  <c r="F1524" i="29"/>
  <c r="F1528" i="29"/>
  <c r="F1532" i="29"/>
  <c r="F1536" i="29"/>
  <c r="F1540" i="29"/>
  <c r="F1544" i="29"/>
  <c r="F1548" i="29"/>
  <c r="F1552" i="29"/>
  <c r="F1556" i="29"/>
  <c r="F1560" i="29"/>
  <c r="F1564" i="29"/>
  <c r="F1568" i="29"/>
  <c r="F1572" i="29"/>
  <c r="F1576" i="29"/>
  <c r="F1580" i="29"/>
  <c r="F1584" i="29"/>
  <c r="F1588" i="29"/>
  <c r="F1592" i="29"/>
  <c r="F1596" i="29"/>
  <c r="F1600" i="29"/>
  <c r="F1604" i="29"/>
  <c r="F1608" i="29"/>
  <c r="F1612" i="29"/>
  <c r="F1616" i="29"/>
  <c r="F1620" i="29"/>
  <c r="F1655" i="29"/>
  <c r="F1659" i="29"/>
  <c r="F1663" i="29"/>
  <c r="F1667" i="29"/>
  <c r="F1671" i="29"/>
  <c r="F1675" i="29"/>
  <c r="F1679" i="29"/>
  <c r="F1683" i="29"/>
  <c r="F1687" i="29"/>
  <c r="F1691" i="29"/>
  <c r="F1695" i="29"/>
  <c r="F1699" i="29"/>
  <c r="F1703" i="29"/>
  <c r="F1707" i="29"/>
  <c r="F1711" i="29"/>
  <c r="F1715" i="29"/>
  <c r="F1719" i="29"/>
  <c r="F1723" i="29"/>
  <c r="F1727" i="29"/>
  <c r="F1731" i="29"/>
  <c r="F1735" i="29"/>
  <c r="F1739" i="29"/>
  <c r="F1743" i="29"/>
  <c r="F1747" i="29"/>
  <c r="F1751" i="29"/>
  <c r="F1755" i="29"/>
  <c r="F1759" i="29"/>
  <c r="F1763" i="29"/>
  <c r="F1767" i="29"/>
  <c r="F1771" i="29"/>
  <c r="F1775" i="29"/>
  <c r="F1779" i="29"/>
  <c r="F1783" i="29"/>
  <c r="F1787" i="29"/>
  <c r="F1791" i="29"/>
  <c r="F1795" i="29"/>
  <c r="F1799" i="29"/>
  <c r="B1800" i="29"/>
  <c r="B1796" i="29"/>
  <c r="B1792" i="29"/>
  <c r="B1788" i="29"/>
  <c r="B1784" i="29"/>
  <c r="B1780" i="29"/>
  <c r="F233" i="29"/>
  <c r="F596" i="29"/>
  <c r="F710" i="29"/>
  <c r="F805" i="29"/>
  <c r="F869" i="29"/>
  <c r="F964" i="29"/>
  <c r="F1000" i="29"/>
  <c r="F1032" i="29"/>
  <c r="F1064" i="29"/>
  <c r="F1127" i="29"/>
  <c r="F1159" i="29"/>
  <c r="F1191" i="29"/>
  <c r="F1223" i="29"/>
  <c r="F1255" i="29"/>
  <c r="F1308" i="29"/>
  <c r="F1324" i="29"/>
  <c r="F1340" i="29"/>
  <c r="F1356" i="29"/>
  <c r="F1372" i="29"/>
  <c r="F1388" i="29"/>
  <c r="F1404" i="29"/>
  <c r="F1420" i="29"/>
  <c r="F1436" i="29"/>
  <c r="F1483" i="29"/>
  <c r="F1499" i="29"/>
  <c r="F1515" i="29"/>
  <c r="F1531" i="29"/>
  <c r="F1547" i="29"/>
  <c r="F1563" i="29"/>
  <c r="F1579" i="29"/>
  <c r="F1590" i="29"/>
  <c r="F1598" i="29"/>
  <c r="F1606" i="29"/>
  <c r="F1614" i="29"/>
  <c r="F1653" i="29"/>
  <c r="F1661" i="29"/>
  <c r="F1669" i="29"/>
  <c r="F1677" i="29"/>
  <c r="F1685" i="29"/>
  <c r="F1693" i="29"/>
  <c r="F1701" i="29"/>
  <c r="F1709" i="29"/>
  <c r="F1717" i="29"/>
  <c r="F1725" i="29"/>
  <c r="F1733" i="29"/>
  <c r="F1741" i="29"/>
  <c r="F1749" i="29"/>
  <c r="F1757" i="29"/>
  <c r="F1765" i="29"/>
  <c r="F1773" i="29"/>
  <c r="F1778" i="29"/>
  <c r="F1784" i="29"/>
  <c r="F1789" i="29"/>
  <c r="F1794" i="29"/>
  <c r="F1800" i="29"/>
  <c r="B1798" i="29"/>
  <c r="B1793" i="29"/>
  <c r="B1787" i="29"/>
  <c r="B1782" i="29"/>
  <c r="B1777" i="29"/>
  <c r="B1773" i="29"/>
  <c r="B1769" i="29"/>
  <c r="B1765" i="29"/>
  <c r="B1761" i="29"/>
  <c r="B1757" i="29"/>
  <c r="B1753" i="29"/>
  <c r="B1749" i="29"/>
  <c r="B1745" i="29"/>
  <c r="B1741" i="29"/>
  <c r="B1737" i="29"/>
  <c r="B1733" i="29"/>
  <c r="B1729" i="29"/>
  <c r="B1725" i="29"/>
  <c r="B1721" i="29"/>
  <c r="B1717" i="29"/>
  <c r="B1713" i="29"/>
  <c r="B1709" i="29"/>
  <c r="B1705" i="29"/>
  <c r="B1701" i="29"/>
  <c r="B1697" i="29"/>
  <c r="B1693" i="29"/>
  <c r="B1689" i="29"/>
  <c r="B1685" i="29"/>
  <c r="B1681" i="29"/>
  <c r="B1677" i="29"/>
  <c r="B1673" i="29"/>
  <c r="B1669" i="29"/>
  <c r="B1665" i="29"/>
  <c r="B1661" i="29"/>
  <c r="B1657" i="29"/>
  <c r="B1653" i="29"/>
  <c r="B1618" i="29"/>
  <c r="B1614" i="29"/>
  <c r="B1610" i="29"/>
  <c r="B1606" i="29"/>
  <c r="B1602" i="29"/>
  <c r="B1598" i="29"/>
  <c r="B1594" i="29"/>
  <c r="B1590" i="29"/>
  <c r="B1586" i="29"/>
  <c r="B1582" i="29"/>
  <c r="B1578" i="29"/>
  <c r="B1574" i="29"/>
  <c r="B1570" i="29"/>
  <c r="B1566" i="29"/>
  <c r="B1562" i="29"/>
  <c r="B1558" i="29"/>
  <c r="B1554" i="29"/>
  <c r="B1550" i="29"/>
  <c r="B1546" i="29"/>
  <c r="B1542" i="29"/>
  <c r="B1538" i="29"/>
  <c r="B1534" i="29"/>
  <c r="B1530" i="29"/>
  <c r="B1526" i="29"/>
  <c r="B1522" i="29"/>
  <c r="B1518" i="29"/>
  <c r="B1514" i="29"/>
  <c r="B1510" i="29"/>
  <c r="B1506" i="29"/>
  <c r="B1502" i="29"/>
  <c r="B1498" i="29"/>
  <c r="B1494" i="29"/>
  <c r="B1490" i="29"/>
  <c r="B1486" i="29"/>
  <c r="B1482" i="29"/>
  <c r="B1478" i="29"/>
  <c r="B1474" i="29"/>
  <c r="B1439" i="29"/>
  <c r="B1435" i="29"/>
  <c r="B1431" i="29"/>
  <c r="B1427" i="29"/>
  <c r="B1423" i="29"/>
  <c r="B1419" i="29"/>
  <c r="B1415" i="29"/>
  <c r="B1411" i="29"/>
  <c r="B1407" i="29"/>
  <c r="B1403" i="29"/>
  <c r="B1399" i="29"/>
  <c r="B1395" i="29"/>
  <c r="B1391" i="29"/>
  <c r="B1387" i="29"/>
  <c r="B1383" i="29"/>
  <c r="B1379" i="29"/>
  <c r="B1375" i="29"/>
  <c r="B1371" i="29"/>
  <c r="B1367" i="29"/>
  <c r="B1363" i="29"/>
  <c r="B1359" i="29"/>
  <c r="B1355" i="29"/>
  <c r="B1351" i="29"/>
  <c r="B1347" i="29"/>
  <c r="B1343" i="29"/>
  <c r="B1339" i="29"/>
  <c r="B1335" i="29"/>
  <c r="B1331" i="29"/>
  <c r="B1327" i="29"/>
  <c r="B1323" i="29"/>
  <c r="B1319" i="29"/>
  <c r="B1315" i="29"/>
  <c r="B1311" i="29"/>
  <c r="B1307" i="29"/>
  <c r="B1303" i="29"/>
  <c r="B1299" i="29"/>
  <c r="B1295" i="29"/>
  <c r="B1260" i="29"/>
  <c r="B1256" i="29"/>
  <c r="B1252" i="29"/>
  <c r="B1248" i="29"/>
  <c r="B1244" i="29"/>
  <c r="F422" i="29"/>
  <c r="F628" i="29"/>
  <c r="F757" i="29"/>
  <c r="F821" i="29"/>
  <c r="F885" i="29"/>
  <c r="F976" i="29"/>
  <c r="F1008" i="29"/>
  <c r="F1040" i="29"/>
  <c r="F1072" i="29"/>
  <c r="F1135" i="29"/>
  <c r="F1167" i="29"/>
  <c r="F1199" i="29"/>
  <c r="F1231" i="29"/>
  <c r="F1261" i="29"/>
  <c r="F1312" i="29"/>
  <c r="F1328" i="29"/>
  <c r="F1344" i="29"/>
  <c r="F1360" i="29"/>
  <c r="F1376" i="29"/>
  <c r="F1392" i="29"/>
  <c r="F1408" i="29"/>
  <c r="F1424" i="29"/>
  <c r="F1440" i="29"/>
  <c r="F1487" i="29"/>
  <c r="F1503" i="29"/>
  <c r="F1519" i="29"/>
  <c r="F1535" i="29"/>
  <c r="F1551" i="29"/>
  <c r="F1567" i="29"/>
  <c r="F1583" i="29"/>
  <c r="F1591" i="29"/>
  <c r="F1599" i="29"/>
  <c r="F1607" i="29"/>
  <c r="F1615" i="29"/>
  <c r="F1654" i="29"/>
  <c r="F1662" i="29"/>
  <c r="F1670" i="29"/>
  <c r="F1678" i="29"/>
  <c r="F1686" i="29"/>
  <c r="F1694" i="29"/>
  <c r="F1702" i="29"/>
  <c r="F1710" i="29"/>
  <c r="F1718" i="29"/>
  <c r="F1726" i="29"/>
  <c r="F1734" i="29"/>
  <c r="F1742" i="29"/>
  <c r="F1750" i="29"/>
  <c r="F1758" i="29"/>
  <c r="F1766" i="29"/>
  <c r="F1774" i="29"/>
  <c r="F1780" i="29"/>
  <c r="F1785" i="29"/>
  <c r="F1790" i="29"/>
  <c r="F1796" i="29"/>
  <c r="F1801" i="29"/>
  <c r="B1797" i="29"/>
  <c r="B1791" i="29"/>
  <c r="B1786" i="29"/>
  <c r="B1781" i="29"/>
  <c r="B1776" i="29"/>
  <c r="B1772" i="29"/>
  <c r="B1768" i="29"/>
  <c r="B1764" i="29"/>
  <c r="B1760" i="29"/>
  <c r="B1756" i="29"/>
  <c r="B1752" i="29"/>
  <c r="B1748" i="29"/>
  <c r="B1744" i="29"/>
  <c r="B1740" i="29"/>
  <c r="B1736" i="29"/>
  <c r="B1732" i="29"/>
  <c r="B1728" i="29"/>
  <c r="B1724" i="29"/>
  <c r="B1720" i="29"/>
  <c r="B1716" i="29"/>
  <c r="B1712" i="29"/>
  <c r="B1708" i="29"/>
  <c r="B1704" i="29"/>
  <c r="B1700" i="29"/>
  <c r="B1696" i="29"/>
  <c r="B1692" i="29"/>
  <c r="B1688" i="29"/>
  <c r="B1684" i="29"/>
  <c r="B1680" i="29"/>
  <c r="B1676" i="29"/>
  <c r="B1672" i="29"/>
  <c r="B1668" i="29"/>
  <c r="B1664" i="29"/>
  <c r="B1660" i="29"/>
  <c r="B1656" i="29"/>
  <c r="B1621" i="29"/>
  <c r="B1617" i="29"/>
  <c r="B1613" i="29"/>
  <c r="B1609" i="29"/>
  <c r="B1605" i="29"/>
  <c r="B1601" i="29"/>
  <c r="B1597" i="29"/>
  <c r="B1593" i="29"/>
  <c r="B1589" i="29"/>
  <c r="B1585" i="29"/>
  <c r="B1581" i="29"/>
  <c r="B1577" i="29"/>
  <c r="B1573" i="29"/>
  <c r="B1569" i="29"/>
  <c r="B1565" i="29"/>
  <c r="B1561" i="29"/>
  <c r="B1557" i="29"/>
  <c r="B1553" i="29"/>
  <c r="B1549" i="29"/>
  <c r="B1545" i="29"/>
  <c r="B1541" i="29"/>
  <c r="B1537" i="29"/>
  <c r="B1533" i="29"/>
  <c r="B1529" i="29"/>
  <c r="B1525" i="29"/>
  <c r="F533" i="29"/>
  <c r="F691" i="29"/>
  <c r="F789" i="29"/>
  <c r="F853" i="29"/>
  <c r="F948" i="29"/>
  <c r="F992" i="29"/>
  <c r="F1024" i="29"/>
  <c r="F1056" i="29"/>
  <c r="F1119" i="29"/>
  <c r="F1151" i="29"/>
  <c r="F1183" i="29"/>
  <c r="F1215" i="29"/>
  <c r="F1247" i="29"/>
  <c r="F1302" i="29"/>
  <c r="F1320" i="29"/>
  <c r="F1336" i="29"/>
  <c r="F1352" i="29"/>
  <c r="F1368" i="29"/>
  <c r="F1384" i="29"/>
  <c r="F1400" i="29"/>
  <c r="F1416" i="29"/>
  <c r="F1432" i="29"/>
  <c r="F1479" i="29"/>
  <c r="F1495" i="29"/>
  <c r="F1511" i="29"/>
  <c r="F1527" i="29"/>
  <c r="F1543" i="29"/>
  <c r="F1559" i="29"/>
  <c r="F1575" i="29"/>
  <c r="F1587" i="29"/>
  <c r="F1595" i="29"/>
  <c r="F1603" i="29"/>
  <c r="F1611" i="29"/>
  <c r="F1619" i="29"/>
  <c r="F1658" i="29"/>
  <c r="F1666" i="29"/>
  <c r="F1674" i="29"/>
  <c r="F1682" i="29"/>
  <c r="F1690" i="29"/>
  <c r="F1698" i="29"/>
  <c r="F1706" i="29"/>
  <c r="F1714" i="29"/>
  <c r="F1722" i="29"/>
  <c r="F1730" i="29"/>
  <c r="F1738" i="29"/>
  <c r="F1746" i="29"/>
  <c r="F1754" i="29"/>
  <c r="F1762" i="29"/>
  <c r="F1770" i="29"/>
  <c r="F1777" i="29"/>
  <c r="F1782" i="29"/>
  <c r="F1788" i="29"/>
  <c r="F1793" i="29"/>
  <c r="F1798" i="29"/>
  <c r="B1799" i="29"/>
  <c r="B1794" i="29"/>
  <c r="B1789" i="29"/>
  <c r="B1783" i="29"/>
  <c r="B1778" i="29"/>
  <c r="B1774" i="29"/>
  <c r="B1770" i="29"/>
  <c r="B1766" i="29"/>
  <c r="B1762" i="29"/>
  <c r="B1758" i="29"/>
  <c r="B1754" i="29"/>
  <c r="B1750" i="29"/>
  <c r="B1746" i="29"/>
  <c r="B1742" i="29"/>
  <c r="B1738" i="29"/>
  <c r="B1734" i="29"/>
  <c r="B1730" i="29"/>
  <c r="B1726" i="29"/>
  <c r="B1722" i="29"/>
  <c r="B1718" i="29"/>
  <c r="B1714" i="29"/>
  <c r="B1710" i="29"/>
  <c r="B1706" i="29"/>
  <c r="B1702" i="29"/>
  <c r="B1698" i="29"/>
  <c r="B1694" i="29"/>
  <c r="B1690" i="29"/>
  <c r="B1686" i="29"/>
  <c r="B1682" i="29"/>
  <c r="B1678" i="29"/>
  <c r="B1674" i="29"/>
  <c r="B1670" i="29"/>
  <c r="B1666" i="29"/>
  <c r="B1662" i="29"/>
  <c r="B1658" i="29"/>
  <c r="B1654" i="29"/>
  <c r="B1619" i="29"/>
  <c r="B1615" i="29"/>
  <c r="B1611" i="29"/>
  <c r="B1607" i="29"/>
  <c r="B1603" i="29"/>
  <c r="B1599" i="29"/>
  <c r="B1595" i="29"/>
  <c r="B1591" i="29"/>
  <c r="B1587" i="29"/>
  <c r="B1583" i="29"/>
  <c r="B1579" i="29"/>
  <c r="B1575" i="29"/>
  <c r="B1571" i="29"/>
  <c r="B1567" i="29"/>
  <c r="B1563" i="29"/>
  <c r="B1559" i="29"/>
  <c r="B1555" i="29"/>
  <c r="B1551" i="29"/>
  <c r="B1547" i="29"/>
  <c r="B1543" i="29"/>
  <c r="B1539" i="29"/>
  <c r="B1535" i="29"/>
  <c r="B1531" i="29"/>
  <c r="B1527" i="29"/>
  <c r="B1523" i="29"/>
  <c r="B1519" i="29"/>
  <c r="B1515" i="29"/>
  <c r="B1511" i="29"/>
  <c r="B1507" i="29"/>
  <c r="B1503" i="29"/>
  <c r="B1499" i="29"/>
  <c r="B1495" i="29"/>
  <c r="B1491" i="29"/>
  <c r="B1487" i="29"/>
  <c r="B1483" i="29"/>
  <c r="B1479" i="29"/>
  <c r="B1475" i="29"/>
  <c r="B1440" i="29"/>
  <c r="B1436" i="29"/>
  <c r="B1432" i="29"/>
  <c r="B1428" i="29"/>
  <c r="B1424" i="29"/>
  <c r="B1420" i="29"/>
  <c r="B1416" i="29"/>
  <c r="B1412" i="29"/>
  <c r="B1408" i="29"/>
  <c r="B1404" i="29"/>
  <c r="B1400" i="29"/>
  <c r="B1396" i="29"/>
  <c r="B1392" i="29"/>
  <c r="B1388" i="29"/>
  <c r="B1384" i="29"/>
  <c r="B1380" i="29"/>
  <c r="B1376" i="29"/>
  <c r="B1372" i="29"/>
  <c r="B1368" i="29"/>
  <c r="B1364" i="29"/>
  <c r="B1360" i="29"/>
  <c r="B1356" i="29"/>
  <c r="B1352" i="29"/>
  <c r="B1348" i="29"/>
  <c r="B1344" i="29"/>
  <c r="B1340" i="29"/>
  <c r="B1336" i="29"/>
  <c r="B1332" i="29"/>
  <c r="B1328" i="29"/>
  <c r="B1324" i="29"/>
  <c r="B1320" i="29"/>
  <c r="B1316" i="29"/>
  <c r="B1312" i="29"/>
  <c r="B1308" i="29"/>
  <c r="B1304" i="29"/>
  <c r="B1300" i="29"/>
  <c r="B1296" i="29"/>
  <c r="B1261" i="29"/>
  <c r="B1257" i="29"/>
  <c r="B1253" i="29"/>
  <c r="B1249" i="29"/>
  <c r="B1245" i="29"/>
  <c r="B1241" i="29"/>
  <c r="B1237" i="29"/>
  <c r="B1233" i="29"/>
  <c r="B1229" i="29"/>
  <c r="B1225" i="29"/>
  <c r="B1221" i="29"/>
  <c r="B1217" i="29"/>
  <c r="B1213" i="29"/>
  <c r="B1209" i="29"/>
  <c r="B1205" i="29"/>
  <c r="B1201" i="29"/>
  <c r="B1197" i="29"/>
  <c r="B1193" i="29"/>
  <c r="B1189" i="29"/>
  <c r="B1185" i="29"/>
  <c r="B1181" i="29"/>
  <c r="F489" i="29"/>
  <c r="F901" i="29"/>
  <c r="F1080" i="29"/>
  <c r="F1239" i="29"/>
  <c r="F1348" i="29"/>
  <c r="F1412" i="29"/>
  <c r="F1507" i="29"/>
  <c r="F1571" i="29"/>
  <c r="F1610" i="29"/>
  <c r="F1673" i="29"/>
  <c r="F1705" i="29"/>
  <c r="F1737" i="29"/>
  <c r="F1769" i="29"/>
  <c r="F1792" i="29"/>
  <c r="B1790" i="29"/>
  <c r="B1771" i="29"/>
  <c r="B1755" i="29"/>
  <c r="B1739" i="29"/>
  <c r="B1723" i="29"/>
  <c r="B1707" i="29"/>
  <c r="B1691" i="29"/>
  <c r="B1675" i="29"/>
  <c r="B1659" i="29"/>
  <c r="B1612" i="29"/>
  <c r="B1596" i="29"/>
  <c r="B1580" i="29"/>
  <c r="B1564" i="29"/>
  <c r="B1548" i="29"/>
  <c r="B1532" i="29"/>
  <c r="B1520" i="29"/>
  <c r="B1512" i="29"/>
  <c r="B1504" i="29"/>
  <c r="B1496" i="29"/>
  <c r="B1488" i="29"/>
  <c r="B1480" i="29"/>
  <c r="B1441" i="29"/>
  <c r="B1433" i="29"/>
  <c r="B1425" i="29"/>
  <c r="B1417" i="29"/>
  <c r="B1409" i="29"/>
  <c r="B1401" i="29"/>
  <c r="B1393" i="29"/>
  <c r="B1385" i="29"/>
  <c r="B1377" i="29"/>
  <c r="B1369" i="29"/>
  <c r="B1361" i="29"/>
  <c r="B1353" i="29"/>
  <c r="B1345" i="29"/>
  <c r="B1337" i="29"/>
  <c r="B1329" i="29"/>
  <c r="B1321" i="29"/>
  <c r="B1313" i="29"/>
  <c r="B1305" i="29"/>
  <c r="B1297" i="29"/>
  <c r="B1258" i="29"/>
  <c r="B1250" i="29"/>
  <c r="B1242" i="29"/>
  <c r="B1236" i="29"/>
  <c r="B1231" i="29"/>
  <c r="B1226" i="29"/>
  <c r="B1220" i="29"/>
  <c r="B1215" i="29"/>
  <c r="B1210" i="29"/>
  <c r="B1204" i="29"/>
  <c r="B1199" i="29"/>
  <c r="B1194" i="29"/>
  <c r="B1188" i="29"/>
  <c r="B1183" i="29"/>
  <c r="B1178" i="29"/>
  <c r="B1174" i="29"/>
  <c r="B1170" i="29"/>
  <c r="B1166" i="29"/>
  <c r="B1162" i="29"/>
  <c r="B1158" i="29"/>
  <c r="B1154" i="29"/>
  <c r="B1150" i="29"/>
  <c r="B1146" i="29"/>
  <c r="B1142" i="29"/>
  <c r="B1138" i="29"/>
  <c r="B1134" i="29"/>
  <c r="B1130" i="29"/>
  <c r="B1126" i="29"/>
  <c r="B1122" i="29"/>
  <c r="B1118" i="29"/>
  <c r="B1114" i="29"/>
  <c r="B1079" i="29"/>
  <c r="B1075" i="29"/>
  <c r="B1071" i="29"/>
  <c r="B1067" i="29"/>
  <c r="B1063" i="29"/>
  <c r="B1059" i="29"/>
  <c r="B1055" i="29"/>
  <c r="B1051" i="29"/>
  <c r="B1047" i="29"/>
  <c r="B1043" i="29"/>
  <c r="B1039" i="29"/>
  <c r="B1035" i="29"/>
  <c r="B1031" i="29"/>
  <c r="B1027" i="29"/>
  <c r="B1023" i="29"/>
  <c r="B1019" i="29"/>
  <c r="B1015" i="29"/>
  <c r="B1011" i="29"/>
  <c r="B1007" i="29"/>
  <c r="B1003" i="29"/>
  <c r="B999" i="29"/>
  <c r="B995" i="29"/>
  <c r="B991" i="29"/>
  <c r="B987" i="29"/>
  <c r="B983" i="29"/>
  <c r="B979" i="29"/>
  <c r="B975" i="29"/>
  <c r="B971" i="29"/>
  <c r="B967" i="29"/>
  <c r="B963" i="29"/>
  <c r="B959" i="29"/>
  <c r="B955" i="29"/>
  <c r="B951" i="29"/>
  <c r="B947" i="29"/>
  <c r="B943" i="29"/>
  <c r="B939" i="29"/>
  <c r="B935" i="29"/>
  <c r="B900" i="29"/>
  <c r="B896" i="29"/>
  <c r="B892" i="29"/>
  <c r="B888" i="29"/>
  <c r="B884" i="29"/>
  <c r="B880" i="29"/>
  <c r="B876" i="29"/>
  <c r="B872" i="29"/>
  <c r="B868" i="29"/>
  <c r="B864" i="29"/>
  <c r="B860" i="29"/>
  <c r="B856" i="29"/>
  <c r="B852" i="29"/>
  <c r="B848" i="29"/>
  <c r="B844" i="29"/>
  <c r="B840" i="29"/>
  <c r="B836" i="29"/>
  <c r="B832" i="29"/>
  <c r="B828" i="29"/>
  <c r="B824" i="29"/>
  <c r="B820" i="29"/>
  <c r="B816" i="29"/>
  <c r="B812" i="29"/>
  <c r="B808" i="29"/>
  <c r="B804" i="29"/>
  <c r="B800" i="29"/>
  <c r="B796" i="29"/>
  <c r="B792" i="29"/>
  <c r="B788" i="29"/>
  <c r="B784" i="29"/>
  <c r="B780" i="29"/>
  <c r="B776" i="29"/>
  <c r="B772" i="29"/>
  <c r="B768" i="29"/>
  <c r="B764" i="29"/>
  <c r="B760" i="29"/>
  <c r="B756" i="29"/>
  <c r="B721" i="29"/>
  <c r="B717" i="29"/>
  <c r="B713" i="29"/>
  <c r="B709" i="29"/>
  <c r="B705" i="29"/>
  <c r="B701" i="29"/>
  <c r="B697" i="29"/>
  <c r="B693" i="29"/>
  <c r="B689" i="29"/>
  <c r="B685" i="29"/>
  <c r="B681" i="29"/>
  <c r="B677" i="29"/>
  <c r="B673" i="29"/>
  <c r="B669" i="29"/>
  <c r="B665" i="29"/>
  <c r="B661" i="29"/>
  <c r="B657" i="29"/>
  <c r="B653" i="29"/>
  <c r="B649" i="29"/>
  <c r="B645" i="29"/>
  <c r="B641" i="29"/>
  <c r="B637" i="29"/>
  <c r="B633" i="29"/>
  <c r="B629" i="29"/>
  <c r="B625" i="29"/>
  <c r="B621" i="29"/>
  <c r="B617" i="29"/>
  <c r="B613" i="29"/>
  <c r="B609" i="29"/>
  <c r="B605" i="29"/>
  <c r="B601" i="29"/>
  <c r="B597" i="29"/>
  <c r="B593" i="29"/>
  <c r="B589" i="29"/>
  <c r="B585" i="29"/>
  <c r="B581" i="29"/>
  <c r="B577" i="29"/>
  <c r="B573" i="29"/>
  <c r="B538" i="29"/>
  <c r="B534" i="29"/>
  <c r="B530" i="29"/>
  <c r="B526" i="29"/>
  <c r="B522" i="29"/>
  <c r="B518" i="29"/>
  <c r="B514" i="29"/>
  <c r="B510" i="29"/>
  <c r="B506" i="29"/>
  <c r="B502" i="29"/>
  <c r="B498" i="29"/>
  <c r="F660" i="29"/>
  <c r="F984" i="29"/>
  <c r="F1143" i="29"/>
  <c r="F1297" i="29"/>
  <c r="F1364" i="29"/>
  <c r="F1428" i="29"/>
  <c r="F1523" i="29"/>
  <c r="F1586" i="29"/>
  <c r="F1618" i="29"/>
  <c r="F1681" i="29"/>
  <c r="F1713" i="29"/>
  <c r="F1745" i="29"/>
  <c r="F1776" i="29"/>
  <c r="F1797" i="29"/>
  <c r="B1785" i="29"/>
  <c r="B1767" i="29"/>
  <c r="B1751" i="29"/>
  <c r="B1735" i="29"/>
  <c r="B1719" i="29"/>
  <c r="B1703" i="29"/>
  <c r="B1687" i="29"/>
  <c r="B1671" i="29"/>
  <c r="B1655" i="29"/>
  <c r="B1608" i="29"/>
  <c r="B1592" i="29"/>
  <c r="B1576" i="29"/>
  <c r="B1560" i="29"/>
  <c r="B1544" i="29"/>
  <c r="B1528" i="29"/>
  <c r="B1517" i="29"/>
  <c r="B1509" i="29"/>
  <c r="B1501" i="29"/>
  <c r="B1493" i="29"/>
  <c r="B1485" i="29"/>
  <c r="B1477" i="29"/>
  <c r="B1438" i="29"/>
  <c r="B1430" i="29"/>
  <c r="B1422" i="29"/>
  <c r="B1414" i="29"/>
  <c r="B1406" i="29"/>
  <c r="B1398" i="29"/>
  <c r="B1390" i="29"/>
  <c r="B1382" i="29"/>
  <c r="B1374" i="29"/>
  <c r="B1366" i="29"/>
  <c r="B1358" i="29"/>
  <c r="B1350" i="29"/>
  <c r="B1342" i="29"/>
  <c r="B1334" i="29"/>
  <c r="B1326" i="29"/>
  <c r="B1318" i="29"/>
  <c r="B1310" i="29"/>
  <c r="B1302" i="29"/>
  <c r="B1294" i="29"/>
  <c r="B1255" i="29"/>
  <c r="B1247" i="29"/>
  <c r="B1240" i="29"/>
  <c r="B1235" i="29"/>
  <c r="B1230" i="29"/>
  <c r="B1224" i="29"/>
  <c r="B1219" i="29"/>
  <c r="B1214" i="29"/>
  <c r="B1208" i="29"/>
  <c r="B1203" i="29"/>
  <c r="B1198" i="29"/>
  <c r="B1192" i="29"/>
  <c r="B1187" i="29"/>
  <c r="B1182" i="29"/>
  <c r="B1177" i="29"/>
  <c r="B1173" i="29"/>
  <c r="B1169" i="29"/>
  <c r="B1165" i="29"/>
  <c r="B1161" i="29"/>
  <c r="B1157" i="29"/>
  <c r="B1153" i="29"/>
  <c r="B1149" i="29"/>
  <c r="B1145" i="29"/>
  <c r="B1141" i="29"/>
  <c r="B1137" i="29"/>
  <c r="B1133" i="29"/>
  <c r="B1129" i="29"/>
  <c r="B1125" i="29"/>
  <c r="B1121" i="29"/>
  <c r="B1117" i="29"/>
  <c r="B1113" i="29"/>
  <c r="B1078" i="29"/>
  <c r="B1074" i="29"/>
  <c r="B1070" i="29"/>
  <c r="B1066" i="29"/>
  <c r="B1062" i="29"/>
  <c r="B1058" i="29"/>
  <c r="B1054" i="29"/>
  <c r="B1050" i="29"/>
  <c r="B1046" i="29"/>
  <c r="B1042" i="29"/>
  <c r="B1038" i="29"/>
  <c r="B1034" i="29"/>
  <c r="B1030" i="29"/>
  <c r="B1026" i="29"/>
  <c r="B1022" i="29"/>
  <c r="B1018" i="29"/>
  <c r="B1014" i="29"/>
  <c r="B1010" i="29"/>
  <c r="B1006" i="29"/>
  <c r="B1002" i="29"/>
  <c r="B998" i="29"/>
  <c r="B994" i="29"/>
  <c r="B990" i="29"/>
  <c r="B986" i="29"/>
  <c r="B982" i="29"/>
  <c r="B978" i="29"/>
  <c r="B974" i="29"/>
  <c r="B970" i="29"/>
  <c r="B966" i="29"/>
  <c r="B962" i="29"/>
  <c r="B958" i="29"/>
  <c r="B954" i="29"/>
  <c r="B950" i="29"/>
  <c r="B946" i="29"/>
  <c r="B942" i="29"/>
  <c r="B938" i="29"/>
  <c r="B934" i="29"/>
  <c r="B899" i="29"/>
  <c r="B895" i="29"/>
  <c r="B891" i="29"/>
  <c r="B887" i="29"/>
  <c r="B883" i="29"/>
  <c r="B879" i="29"/>
  <c r="B875" i="29"/>
  <c r="B871" i="29"/>
  <c r="B867" i="29"/>
  <c r="B863" i="29"/>
  <c r="B859" i="29"/>
  <c r="B855" i="29"/>
  <c r="B851" i="29"/>
  <c r="B847" i="29"/>
  <c r="B843" i="29"/>
  <c r="B839" i="29"/>
  <c r="B835" i="29"/>
  <c r="B831" i="29"/>
  <c r="B827" i="29"/>
  <c r="B823" i="29"/>
  <c r="B819" i="29"/>
  <c r="B815" i="29"/>
  <c r="B811" i="29"/>
  <c r="B807" i="29"/>
  <c r="B803" i="29"/>
  <c r="B799" i="29"/>
  <c r="B795" i="29"/>
  <c r="B791" i="29"/>
  <c r="B787" i="29"/>
  <c r="B783" i="29"/>
  <c r="B779" i="29"/>
  <c r="B775" i="29"/>
  <c r="B771" i="29"/>
  <c r="B767" i="29"/>
  <c r="B763" i="29"/>
  <c r="B759" i="29"/>
  <c r="B755" i="29"/>
  <c r="B720" i="29"/>
  <c r="B716" i="29"/>
  <c r="B712" i="29"/>
  <c r="B708" i="29"/>
  <c r="B704" i="29"/>
  <c r="B700" i="29"/>
  <c r="B696" i="29"/>
  <c r="B692" i="29"/>
  <c r="B688" i="29"/>
  <c r="B684" i="29"/>
  <c r="B680" i="29"/>
  <c r="F837" i="29"/>
  <c r="F1048" i="29"/>
  <c r="F1207" i="29"/>
  <c r="F1332" i="29"/>
  <c r="F1396" i="29"/>
  <c r="F1491" i="29"/>
  <c r="F1555" i="29"/>
  <c r="F1602" i="29"/>
  <c r="F1665" i="29"/>
  <c r="F1697" i="29"/>
  <c r="F1729" i="29"/>
  <c r="F1761" i="29"/>
  <c r="F1786" i="29"/>
  <c r="B1795" i="29"/>
  <c r="B1775" i="29"/>
  <c r="B1759" i="29"/>
  <c r="B1743" i="29"/>
  <c r="B1727" i="29"/>
  <c r="B1711" i="29"/>
  <c r="B1695" i="29"/>
  <c r="B1679" i="29"/>
  <c r="B1663" i="29"/>
  <c r="B1616" i="29"/>
  <c r="B1600" i="29"/>
  <c r="B1584" i="29"/>
  <c r="B1568" i="29"/>
  <c r="B1552" i="29"/>
  <c r="B1536" i="29"/>
  <c r="B1521" i="29"/>
  <c r="B1513" i="29"/>
  <c r="B1505" i="29"/>
  <c r="B1497" i="29"/>
  <c r="B1489" i="29"/>
  <c r="B1481" i="29"/>
  <c r="B1473" i="29"/>
  <c r="B1434" i="29"/>
  <c r="B1426" i="29"/>
  <c r="B1418" i="29"/>
  <c r="B1410" i="29"/>
  <c r="B1402" i="29"/>
  <c r="B1394" i="29"/>
  <c r="B1386" i="29"/>
  <c r="B1378" i="29"/>
  <c r="B1370" i="29"/>
  <c r="B1362" i="29"/>
  <c r="B1354" i="29"/>
  <c r="B1346" i="29"/>
  <c r="B1338" i="29"/>
  <c r="B1330" i="29"/>
  <c r="B1322" i="29"/>
  <c r="B1314" i="29"/>
  <c r="B1306" i="29"/>
  <c r="B1298" i="29"/>
  <c r="B1259" i="29"/>
  <c r="B1251" i="29"/>
  <c r="B1243" i="29"/>
  <c r="B1238" i="29"/>
  <c r="B1232" i="29"/>
  <c r="B1227" i="29"/>
  <c r="B1222" i="29"/>
  <c r="B1216" i="29"/>
  <c r="B1211" i="29"/>
  <c r="B1206" i="29"/>
  <c r="B1200" i="29"/>
  <c r="B1195" i="29"/>
  <c r="B1190" i="29"/>
  <c r="B1184" i="29"/>
  <c r="B1179" i="29"/>
  <c r="B1175" i="29"/>
  <c r="B1171" i="29"/>
  <c r="B1167" i="29"/>
  <c r="B1163" i="29"/>
  <c r="B1159" i="29"/>
  <c r="B1155" i="29"/>
  <c r="B1151" i="29"/>
  <c r="B1147" i="29"/>
  <c r="B1143" i="29"/>
  <c r="B1139" i="29"/>
  <c r="B1135" i="29"/>
  <c r="B1131" i="29"/>
  <c r="B1127" i="29"/>
  <c r="B1123" i="29"/>
  <c r="B1119" i="29"/>
  <c r="B1115" i="29"/>
  <c r="B1080" i="29"/>
  <c r="B1076" i="29"/>
  <c r="B1072" i="29"/>
  <c r="B1068" i="29"/>
  <c r="B1064" i="29"/>
  <c r="B1060" i="29"/>
  <c r="B1056" i="29"/>
  <c r="B1052" i="29"/>
  <c r="B1048" i="29"/>
  <c r="B1044" i="29"/>
  <c r="B1040" i="29"/>
  <c r="B1036" i="29"/>
  <c r="B1032" i="29"/>
  <c r="B1028" i="29"/>
  <c r="B1024" i="29"/>
  <c r="B1020" i="29"/>
  <c r="B1016" i="29"/>
  <c r="B1012" i="29"/>
  <c r="B1008" i="29"/>
  <c r="B1004" i="29"/>
  <c r="B1000" i="29"/>
  <c r="B996" i="29"/>
  <c r="B992" i="29"/>
  <c r="B988" i="29"/>
  <c r="B984" i="29"/>
  <c r="B980" i="29"/>
  <c r="B976" i="29"/>
  <c r="B972" i="29"/>
  <c r="B968" i="29"/>
  <c r="B964" i="29"/>
  <c r="B960" i="29"/>
  <c r="B956" i="29"/>
  <c r="B952" i="29"/>
  <c r="B948" i="29"/>
  <c r="B944" i="29"/>
  <c r="B940" i="29"/>
  <c r="B936" i="29"/>
  <c r="B901" i="29"/>
  <c r="B897" i="29"/>
  <c r="B893" i="29"/>
  <c r="B889" i="29"/>
  <c r="B885" i="29"/>
  <c r="B881" i="29"/>
  <c r="B877" i="29"/>
  <c r="B873" i="29"/>
  <c r="B869" i="29"/>
  <c r="B865" i="29"/>
  <c r="B861" i="29"/>
  <c r="B857" i="29"/>
  <c r="B853" i="29"/>
  <c r="B849" i="29"/>
  <c r="B845" i="29"/>
  <c r="B841" i="29"/>
  <c r="B837" i="29"/>
  <c r="B833" i="29"/>
  <c r="B829" i="29"/>
  <c r="B825" i="29"/>
  <c r="B821" i="29"/>
  <c r="B817" i="29"/>
  <c r="B813" i="29"/>
  <c r="B809" i="29"/>
  <c r="B805" i="29"/>
  <c r="B801" i="29"/>
  <c r="B797" i="29"/>
  <c r="B793" i="29"/>
  <c r="B789" i="29"/>
  <c r="B785" i="29"/>
  <c r="B781" i="29"/>
  <c r="B777" i="29"/>
  <c r="B773" i="29"/>
  <c r="B769" i="29"/>
  <c r="B765" i="29"/>
  <c r="B761" i="29"/>
  <c r="B757" i="29"/>
  <c r="B753" i="29"/>
  <c r="B718" i="29"/>
  <c r="B714" i="29"/>
  <c r="B710" i="29"/>
  <c r="B706" i="29"/>
  <c r="B702" i="29"/>
  <c r="B698" i="29"/>
  <c r="B694" i="29"/>
  <c r="B690" i="29"/>
  <c r="B686" i="29"/>
  <c r="B682" i="29"/>
  <c r="B678" i="29"/>
  <c r="B674" i="29"/>
  <c r="B670" i="29"/>
  <c r="B666" i="29"/>
  <c r="B662" i="29"/>
  <c r="B658" i="29"/>
  <c r="B654" i="29"/>
  <c r="B650" i="29"/>
  <c r="B646" i="29"/>
  <c r="B642" i="29"/>
  <c r="B638" i="29"/>
  <c r="B634" i="29"/>
  <c r="B630" i="29"/>
  <c r="B626" i="29"/>
  <c r="B622" i="29"/>
  <c r="B618" i="29"/>
  <c r="B614" i="29"/>
  <c r="B610" i="29"/>
  <c r="B606" i="29"/>
  <c r="B602" i="29"/>
  <c r="B598" i="29"/>
  <c r="B594" i="29"/>
  <c r="B590" i="29"/>
  <c r="B586" i="29"/>
  <c r="B582" i="29"/>
  <c r="B578" i="29"/>
  <c r="B574" i="29"/>
  <c r="B539" i="29"/>
  <c r="B535" i="29"/>
  <c r="B531" i="29"/>
  <c r="B527" i="29"/>
  <c r="B523" i="29"/>
  <c r="B519" i="29"/>
  <c r="B515" i="29"/>
  <c r="B511" i="29"/>
  <c r="B507" i="29"/>
  <c r="B503" i="29"/>
  <c r="B499" i="29"/>
  <c r="B495" i="29"/>
  <c r="B491" i="29"/>
  <c r="B487" i="29"/>
  <c r="B483" i="29"/>
  <c r="B479" i="29"/>
  <c r="B475" i="29"/>
  <c r="B471" i="29"/>
  <c r="B467" i="29"/>
  <c r="B463" i="29"/>
  <c r="B459" i="29"/>
  <c r="B455" i="29"/>
  <c r="B451" i="29"/>
  <c r="B447" i="29"/>
  <c r="B443" i="29"/>
  <c r="B439" i="29"/>
  <c r="B435" i="29"/>
  <c r="B431" i="29"/>
  <c r="B427" i="29"/>
  <c r="F773" i="29"/>
  <c r="F1380" i="29"/>
  <c r="F1657" i="29"/>
  <c r="F1781" i="29"/>
  <c r="B1747" i="29"/>
  <c r="B1683" i="29"/>
  <c r="B1588" i="29"/>
  <c r="B1524" i="29"/>
  <c r="B1492" i="29"/>
  <c r="B1429" i="29"/>
  <c r="B1397" i="29"/>
  <c r="B1365" i="29"/>
  <c r="B1333" i="29"/>
  <c r="B1301" i="29"/>
  <c r="B1239" i="29"/>
  <c r="B1218" i="29"/>
  <c r="B1196" i="29"/>
  <c r="B1176" i="29"/>
  <c r="B1160" i="29"/>
  <c r="B1144" i="29"/>
  <c r="B1128" i="29"/>
  <c r="B1081" i="29"/>
  <c r="B1065" i="29"/>
  <c r="B1049" i="29"/>
  <c r="B1033" i="29"/>
  <c r="B1017" i="29"/>
  <c r="B1001" i="29"/>
  <c r="B985" i="29"/>
  <c r="B969" i="29"/>
  <c r="B953" i="29"/>
  <c r="B937" i="29"/>
  <c r="B890" i="29"/>
  <c r="B874" i="29"/>
  <c r="B858" i="29"/>
  <c r="B842" i="29"/>
  <c r="B826" i="29"/>
  <c r="B810" i="29"/>
  <c r="B794" i="29"/>
  <c r="B778" i="29"/>
  <c r="B762" i="29"/>
  <c r="B715" i="29"/>
  <c r="B699" i="29"/>
  <c r="B683" i="29"/>
  <c r="B672" i="29"/>
  <c r="B664" i="29"/>
  <c r="B656" i="29"/>
  <c r="B648" i="29"/>
  <c r="B640" i="29"/>
  <c r="B632" i="29"/>
  <c r="B624" i="29"/>
  <c r="B616" i="29"/>
  <c r="B608" i="29"/>
  <c r="B600" i="29"/>
  <c r="B592" i="29"/>
  <c r="B584" i="29"/>
  <c r="B576" i="29"/>
  <c r="B537" i="29"/>
  <c r="B529" i="29"/>
  <c r="B521" i="29"/>
  <c r="B513" i="29"/>
  <c r="B505" i="29"/>
  <c r="B497" i="29"/>
  <c r="B492" i="29"/>
  <c r="B486" i="29"/>
  <c r="B481" i="29"/>
  <c r="B476" i="29"/>
  <c r="B470" i="29"/>
  <c r="B465" i="29"/>
  <c r="B460" i="29"/>
  <c r="B454" i="29"/>
  <c r="B449" i="29"/>
  <c r="B444" i="29"/>
  <c r="B438" i="29"/>
  <c r="B433" i="29"/>
  <c r="B428" i="29"/>
  <c r="B423" i="29"/>
  <c r="B419" i="29"/>
  <c r="B415" i="29"/>
  <c r="B411" i="29"/>
  <c r="B407" i="29"/>
  <c r="B403" i="29"/>
  <c r="B399" i="29"/>
  <c r="B395" i="29"/>
  <c r="B360" i="29"/>
  <c r="B356" i="29"/>
  <c r="B352" i="29"/>
  <c r="B348" i="29"/>
  <c r="B344" i="29"/>
  <c r="B340" i="29"/>
  <c r="B336" i="29"/>
  <c r="B332" i="29"/>
  <c r="B328" i="29"/>
  <c r="B324" i="29"/>
  <c r="B320" i="29"/>
  <c r="B316" i="29"/>
  <c r="B312" i="29"/>
  <c r="B308" i="29"/>
  <c r="B304" i="29"/>
  <c r="B300" i="29"/>
  <c r="B296" i="29"/>
  <c r="B292" i="29"/>
  <c r="B288" i="29"/>
  <c r="B284" i="29"/>
  <c r="B280" i="29"/>
  <c r="B276" i="29"/>
  <c r="B272" i="29"/>
  <c r="B268" i="29"/>
  <c r="B264" i="29"/>
  <c r="B260" i="29"/>
  <c r="B256" i="29"/>
  <c r="B252" i="29"/>
  <c r="B248" i="29"/>
  <c r="B244" i="29"/>
  <c r="B240" i="29"/>
  <c r="B236" i="29"/>
  <c r="B232" i="29"/>
  <c r="B228" i="29"/>
  <c r="B224" i="29"/>
  <c r="B220" i="29"/>
  <c r="B216" i="29"/>
  <c r="B182" i="29"/>
  <c r="B178" i="29"/>
  <c r="B174" i="29"/>
  <c r="B170" i="29"/>
  <c r="B166" i="29"/>
  <c r="B162" i="29"/>
  <c r="B158" i="29"/>
  <c r="B154" i="29"/>
  <c r="B150" i="29"/>
  <c r="B146" i="29"/>
  <c r="B142" i="29"/>
  <c r="B138" i="29"/>
  <c r="B134" i="29"/>
  <c r="B130" i="29"/>
  <c r="B126" i="29"/>
  <c r="B122" i="29"/>
  <c r="B118" i="29"/>
  <c r="B114" i="29"/>
  <c r="B110" i="29"/>
  <c r="B106" i="29"/>
  <c r="B102" i="29"/>
  <c r="B98" i="29"/>
  <c r="B94" i="29"/>
  <c r="B90" i="29"/>
  <c r="B86" i="29"/>
  <c r="B82" i="29"/>
  <c r="B78" i="29"/>
  <c r="B74" i="29"/>
  <c r="B70" i="29"/>
  <c r="B66" i="29"/>
  <c r="B62" i="29"/>
  <c r="B58" i="29"/>
  <c r="B54" i="29"/>
  <c r="B50" i="29"/>
  <c r="B46" i="29"/>
  <c r="B42" i="29"/>
  <c r="B38" i="29"/>
  <c r="B34" i="29"/>
  <c r="F1539" i="29"/>
  <c r="B1556" i="29"/>
  <c r="B1413" i="29"/>
  <c r="B1317" i="29"/>
  <c r="B1207" i="29"/>
  <c r="B1152" i="29"/>
  <c r="B1073" i="29"/>
  <c r="B1009" i="29"/>
  <c r="B961" i="29"/>
  <c r="B882" i="29"/>
  <c r="B834" i="29"/>
  <c r="B786" i="29"/>
  <c r="B707" i="29"/>
  <c r="B668" i="29"/>
  <c r="B644" i="29"/>
  <c r="B612" i="29"/>
  <c r="B588" i="29"/>
  <c r="B533" i="29"/>
  <c r="B509" i="29"/>
  <c r="B494" i="29"/>
  <c r="B478" i="29"/>
  <c r="B468" i="29"/>
  <c r="B452" i="29"/>
  <c r="B430" i="29"/>
  <c r="B417" i="29"/>
  <c r="B405" i="29"/>
  <c r="B393" i="29"/>
  <c r="B350" i="29"/>
  <c r="B338" i="29"/>
  <c r="B326" i="29"/>
  <c r="B314" i="29"/>
  <c r="B302" i="29"/>
  <c r="B290" i="29"/>
  <c r="B278" i="29"/>
  <c r="B266" i="29"/>
  <c r="B254" i="29"/>
  <c r="B242" i="29"/>
  <c r="B230" i="29"/>
  <c r="B218" i="29"/>
  <c r="B176" i="29"/>
  <c r="B164" i="29"/>
  <c r="B152" i="29"/>
  <c r="B136" i="29"/>
  <c r="B124" i="29"/>
  <c r="B112" i="29"/>
  <c r="B100" i="29"/>
  <c r="B88" i="29"/>
  <c r="B76" i="29"/>
  <c r="B64" i="29"/>
  <c r="B52" i="29"/>
  <c r="B36" i="29"/>
  <c r="F1016" i="29"/>
  <c r="F1475" i="29"/>
  <c r="F1689" i="29"/>
  <c r="B1801" i="29"/>
  <c r="B1731" i="29"/>
  <c r="B1667" i="29"/>
  <c r="B1572" i="29"/>
  <c r="B1516" i="29"/>
  <c r="B1484" i="29"/>
  <c r="B1421" i="29"/>
  <c r="B1389" i="29"/>
  <c r="B1357" i="29"/>
  <c r="B1325" i="29"/>
  <c r="B1293" i="29"/>
  <c r="B1234" i="29"/>
  <c r="B1212" i="29"/>
  <c r="B1191" i="29"/>
  <c r="B1172" i="29"/>
  <c r="B1156" i="29"/>
  <c r="B1140" i="29"/>
  <c r="B1124" i="29"/>
  <c r="B1077" i="29"/>
  <c r="B1061" i="29"/>
  <c r="B1045" i="29"/>
  <c r="B1029" i="29"/>
  <c r="B1013" i="29"/>
  <c r="B997" i="29"/>
  <c r="B981" i="29"/>
  <c r="B965" i="29"/>
  <c r="B949" i="29"/>
  <c r="B933" i="29"/>
  <c r="B886" i="29"/>
  <c r="B870" i="29"/>
  <c r="B854" i="29"/>
  <c r="B838" i="29"/>
  <c r="B822" i="29"/>
  <c r="B806" i="29"/>
  <c r="B790" i="29"/>
  <c r="B774" i="29"/>
  <c r="B758" i="29"/>
  <c r="B711" i="29"/>
  <c r="B695" i="29"/>
  <c r="B679" i="29"/>
  <c r="B671" i="29"/>
  <c r="B663" i="29"/>
  <c r="B655" i="29"/>
  <c r="B647" i="29"/>
  <c r="B639" i="29"/>
  <c r="B631" i="29"/>
  <c r="B623" i="29"/>
  <c r="B615" i="29"/>
  <c r="B607" i="29"/>
  <c r="B599" i="29"/>
  <c r="B591" i="29"/>
  <c r="B583" i="29"/>
  <c r="B575" i="29"/>
  <c r="B536" i="29"/>
  <c r="B528" i="29"/>
  <c r="B520" i="29"/>
  <c r="B512" i="29"/>
  <c r="B504" i="29"/>
  <c r="B496" i="29"/>
  <c r="B490" i="29"/>
  <c r="B485" i="29"/>
  <c r="B480" i="29"/>
  <c r="B474" i="29"/>
  <c r="B469" i="29"/>
  <c r="B464" i="29"/>
  <c r="B458" i="29"/>
  <c r="B453" i="29"/>
  <c r="B448" i="29"/>
  <c r="B442" i="29"/>
  <c r="B437" i="29"/>
  <c r="B432" i="29"/>
  <c r="B426" i="29"/>
  <c r="B422" i="29"/>
  <c r="B418" i="29"/>
  <c r="B414" i="29"/>
  <c r="B410" i="29"/>
  <c r="B406" i="29"/>
  <c r="B402" i="29"/>
  <c r="B398" i="29"/>
  <c r="B394" i="29"/>
  <c r="B359" i="29"/>
  <c r="B355" i="29"/>
  <c r="B351" i="29"/>
  <c r="B347" i="29"/>
  <c r="B343" i="29"/>
  <c r="B339" i="29"/>
  <c r="B335" i="29"/>
  <c r="B331" i="29"/>
  <c r="B327" i="29"/>
  <c r="B323" i="29"/>
  <c r="B319" i="29"/>
  <c r="B315" i="29"/>
  <c r="B311" i="29"/>
  <c r="B307" i="29"/>
  <c r="B303" i="29"/>
  <c r="B299" i="29"/>
  <c r="B295" i="29"/>
  <c r="B291" i="29"/>
  <c r="B287" i="29"/>
  <c r="B283" i="29"/>
  <c r="B279" i="29"/>
  <c r="B275" i="29"/>
  <c r="B271" i="29"/>
  <c r="B267" i="29"/>
  <c r="B263" i="29"/>
  <c r="B259" i="29"/>
  <c r="B255" i="29"/>
  <c r="B251" i="29"/>
  <c r="B247" i="29"/>
  <c r="B243" i="29"/>
  <c r="B239" i="29"/>
  <c r="B235" i="29"/>
  <c r="B231" i="29"/>
  <c r="B227" i="29"/>
  <c r="B223" i="29"/>
  <c r="B219" i="29"/>
  <c r="B215" i="29"/>
  <c r="B181" i="29"/>
  <c r="B177" i="29"/>
  <c r="B173" i="29"/>
  <c r="B169" i="29"/>
  <c r="B165" i="29"/>
  <c r="B161" i="29"/>
  <c r="B157" i="29"/>
  <c r="B153" i="29"/>
  <c r="B149" i="29"/>
  <c r="B145" i="29"/>
  <c r="B141" i="29"/>
  <c r="B137" i="29"/>
  <c r="B133" i="29"/>
  <c r="B129" i="29"/>
  <c r="B125" i="29"/>
  <c r="B121" i="29"/>
  <c r="B117" i="29"/>
  <c r="B113" i="29"/>
  <c r="B109" i="29"/>
  <c r="B105" i="29"/>
  <c r="B101" i="29"/>
  <c r="B97" i="29"/>
  <c r="B93" i="29"/>
  <c r="B89" i="29"/>
  <c r="B85" i="29"/>
  <c r="B81" i="29"/>
  <c r="B77" i="29"/>
  <c r="B73" i="29"/>
  <c r="B69" i="29"/>
  <c r="B65" i="29"/>
  <c r="B61" i="29"/>
  <c r="B57" i="29"/>
  <c r="B53" i="29"/>
  <c r="B49" i="29"/>
  <c r="B45" i="29"/>
  <c r="B41" i="29"/>
  <c r="B37" i="29"/>
  <c r="B33" i="29"/>
  <c r="F1175" i="29"/>
  <c r="B1779" i="29"/>
  <c r="B1715" i="29"/>
  <c r="B1620" i="29"/>
  <c r="B1476" i="29"/>
  <c r="B1349" i="29"/>
  <c r="B1228" i="29"/>
  <c r="B1168" i="29"/>
  <c r="B1120" i="29"/>
  <c r="B1041" i="29"/>
  <c r="B993" i="29"/>
  <c r="B945" i="29"/>
  <c r="B850" i="29"/>
  <c r="B802" i="29"/>
  <c r="B754" i="29"/>
  <c r="B676" i="29"/>
  <c r="B652" i="29"/>
  <c r="B628" i="29"/>
  <c r="B604" i="29"/>
  <c r="B541" i="29"/>
  <c r="B517" i="29"/>
  <c r="B484" i="29"/>
  <c r="B457" i="29"/>
  <c r="B441" i="29"/>
  <c r="B425" i="29"/>
  <c r="B409" i="29"/>
  <c r="B397" i="29"/>
  <c r="B354" i="29"/>
  <c r="B342" i="29"/>
  <c r="B330" i="29"/>
  <c r="B318" i="29"/>
  <c r="B306" i="29"/>
  <c r="B294" i="29"/>
  <c r="B274" i="29"/>
  <c r="B262" i="29"/>
  <c r="B250" i="29"/>
  <c r="B234" i="29"/>
  <c r="B222" i="29"/>
  <c r="B180" i="29"/>
  <c r="B168" i="29"/>
  <c r="B156" i="29"/>
  <c r="B140" i="29"/>
  <c r="B128" i="29"/>
  <c r="B108" i="29"/>
  <c r="B92" i="29"/>
  <c r="B80" i="29"/>
  <c r="B68" i="29"/>
  <c r="B56" i="29"/>
  <c r="B40" i="29"/>
  <c r="F1316" i="29"/>
  <c r="F1594" i="29"/>
  <c r="F1753" i="29"/>
  <c r="B1763" i="29"/>
  <c r="B1699" i="29"/>
  <c r="B1604" i="29"/>
  <c r="B1540" i="29"/>
  <c r="B1500" i="29"/>
  <c r="B1437" i="29"/>
  <c r="B1405" i="29"/>
  <c r="B1373" i="29"/>
  <c r="B1341" i="29"/>
  <c r="B1309" i="29"/>
  <c r="B1246" i="29"/>
  <c r="B1223" i="29"/>
  <c r="B1202" i="29"/>
  <c r="B1180" i="29"/>
  <c r="B1164" i="29"/>
  <c r="B1148" i="29"/>
  <c r="B1132" i="29"/>
  <c r="B1116" i="29"/>
  <c r="B1069" i="29"/>
  <c r="B1053" i="29"/>
  <c r="B1037" i="29"/>
  <c r="B1021" i="29"/>
  <c r="B1005" i="29"/>
  <c r="B989" i="29"/>
  <c r="B973" i="29"/>
  <c r="B957" i="29"/>
  <c r="B941" i="29"/>
  <c r="B894" i="29"/>
  <c r="B878" i="29"/>
  <c r="B862" i="29"/>
  <c r="B846" i="29"/>
  <c r="B830" i="29"/>
  <c r="B814" i="29"/>
  <c r="B798" i="29"/>
  <c r="B782" i="29"/>
  <c r="B766" i="29"/>
  <c r="B719" i="29"/>
  <c r="B703" i="29"/>
  <c r="B687" i="29"/>
  <c r="B675" i="29"/>
  <c r="B667" i="29"/>
  <c r="B659" i="29"/>
  <c r="B651" i="29"/>
  <c r="B643" i="29"/>
  <c r="B635" i="29"/>
  <c r="B627" i="29"/>
  <c r="B619" i="29"/>
  <c r="B611" i="29"/>
  <c r="B603" i="29"/>
  <c r="B595" i="29"/>
  <c r="B587" i="29"/>
  <c r="B579" i="29"/>
  <c r="B540" i="29"/>
  <c r="B532" i="29"/>
  <c r="B524" i="29"/>
  <c r="B516" i="29"/>
  <c r="B508" i="29"/>
  <c r="B500" i="29"/>
  <c r="B493" i="29"/>
  <c r="B488" i="29"/>
  <c r="B482" i="29"/>
  <c r="B477" i="29"/>
  <c r="B472" i="29"/>
  <c r="B466" i="29"/>
  <c r="B461" i="29"/>
  <c r="B456" i="29"/>
  <c r="B450" i="29"/>
  <c r="B445" i="29"/>
  <c r="B440" i="29"/>
  <c r="B434" i="29"/>
  <c r="B429" i="29"/>
  <c r="B424" i="29"/>
  <c r="B420" i="29"/>
  <c r="B416" i="29"/>
  <c r="B412" i="29"/>
  <c r="B408" i="29"/>
  <c r="B404" i="29"/>
  <c r="B400" i="29"/>
  <c r="B396" i="29"/>
  <c r="B361" i="29"/>
  <c r="B357" i="29"/>
  <c r="B353" i="29"/>
  <c r="B349" i="29"/>
  <c r="B345" i="29"/>
  <c r="B341" i="29"/>
  <c r="B337" i="29"/>
  <c r="B333" i="29"/>
  <c r="B329" i="29"/>
  <c r="B325" i="29"/>
  <c r="B321" i="29"/>
  <c r="B317" i="29"/>
  <c r="B313" i="29"/>
  <c r="B309" i="29"/>
  <c r="B305" i="29"/>
  <c r="B301" i="29"/>
  <c r="B297" i="29"/>
  <c r="B293" i="29"/>
  <c r="B289" i="29"/>
  <c r="B285" i="29"/>
  <c r="B281" i="29"/>
  <c r="B277" i="29"/>
  <c r="B273" i="29"/>
  <c r="B269" i="29"/>
  <c r="B265" i="29"/>
  <c r="B261" i="29"/>
  <c r="B257" i="29"/>
  <c r="B253" i="29"/>
  <c r="B249" i="29"/>
  <c r="B245" i="29"/>
  <c r="B241" i="29"/>
  <c r="B237" i="29"/>
  <c r="B233" i="29"/>
  <c r="B229" i="29"/>
  <c r="B225" i="29"/>
  <c r="B221" i="29"/>
  <c r="B217" i="29"/>
  <c r="B213" i="29"/>
  <c r="B179" i="29"/>
  <c r="B175" i="29"/>
  <c r="B171" i="29"/>
  <c r="B167" i="29"/>
  <c r="B163" i="29"/>
  <c r="B159" i="29"/>
  <c r="B155" i="29"/>
  <c r="B151" i="29"/>
  <c r="B147" i="29"/>
  <c r="B143" i="29"/>
  <c r="B139" i="29"/>
  <c r="B135" i="29"/>
  <c r="B131" i="29"/>
  <c r="B127" i="29"/>
  <c r="B123" i="29"/>
  <c r="B119" i="29"/>
  <c r="B115" i="29"/>
  <c r="B111" i="29"/>
  <c r="B107" i="29"/>
  <c r="B103" i="29"/>
  <c r="B99" i="29"/>
  <c r="B95" i="29"/>
  <c r="B91" i="29"/>
  <c r="B87" i="29"/>
  <c r="B83" i="29"/>
  <c r="B79" i="29"/>
  <c r="B75" i="29"/>
  <c r="B71" i="29"/>
  <c r="B67" i="29"/>
  <c r="B63" i="29"/>
  <c r="B59" i="29"/>
  <c r="B55" i="29"/>
  <c r="B51" i="29"/>
  <c r="B47" i="29"/>
  <c r="B43" i="29"/>
  <c r="B39" i="29"/>
  <c r="B35" i="29"/>
  <c r="F1721" i="29"/>
  <c r="B1508" i="29"/>
  <c r="B1381" i="29"/>
  <c r="B1254" i="29"/>
  <c r="B1186" i="29"/>
  <c r="B1136" i="29"/>
  <c r="B1057" i="29"/>
  <c r="B1025" i="29"/>
  <c r="B977" i="29"/>
  <c r="B898" i="29"/>
  <c r="B866" i="29"/>
  <c r="B818" i="29"/>
  <c r="B770" i="29"/>
  <c r="B691" i="29"/>
  <c r="B660" i="29"/>
  <c r="B636" i="29"/>
  <c r="B620" i="29"/>
  <c r="B596" i="29"/>
  <c r="B580" i="29"/>
  <c r="B525" i="29"/>
  <c r="B501" i="29"/>
  <c r="B489" i="29"/>
  <c r="B473" i="29"/>
  <c r="B462" i="29"/>
  <c r="B446" i="29"/>
  <c r="B436" i="29"/>
  <c r="B421" i="29"/>
  <c r="B413" i="29"/>
  <c r="B401" i="29"/>
  <c r="B358" i="29"/>
  <c r="B346" i="29"/>
  <c r="B334" i="29"/>
  <c r="B322" i="29"/>
  <c r="B310" i="29"/>
  <c r="B298" i="29"/>
  <c r="B286" i="29"/>
  <c r="B282" i="29"/>
  <c r="B270" i="29"/>
  <c r="B258" i="29"/>
  <c r="B246" i="29"/>
  <c r="B238" i="29"/>
  <c r="B226" i="29"/>
  <c r="B214" i="29"/>
  <c r="B172" i="29"/>
  <c r="B160" i="29"/>
  <c r="B148" i="29"/>
  <c r="B144" i="29"/>
  <c r="B132" i="29"/>
  <c r="B120" i="29"/>
  <c r="B116" i="29"/>
  <c r="B104" i="29"/>
  <c r="B96" i="29"/>
  <c r="B84" i="29"/>
  <c r="B72" i="29"/>
  <c r="B60" i="29"/>
  <c r="B48" i="29"/>
  <c r="B44" i="29"/>
  <c r="K5" i="21"/>
  <c r="E5" i="21"/>
  <c r="B5" i="21"/>
  <c r="B78" i="21" l="1"/>
  <c r="B77" i="21"/>
  <c r="B58" i="21"/>
  <c r="B56" i="21"/>
  <c r="B47" i="21"/>
  <c r="C27" i="21"/>
  <c r="F21" i="21"/>
  <c r="Q58" i="1" l="1"/>
  <c r="G21" i="33" l="1"/>
  <c r="M59" i="1" l="1"/>
  <c r="F21" i="33"/>
  <c r="H21" i="33" s="1"/>
  <c r="G44" i="33" l="1"/>
  <c r="G40" i="33"/>
  <c r="G39" i="33" l="1"/>
  <c r="H5" i="21" l="1"/>
  <c r="G38" i="33" l="1"/>
  <c r="G37" i="33"/>
  <c r="G36" i="33"/>
  <c r="G34" i="33"/>
  <c r="G33" i="33"/>
  <c r="G32" i="33"/>
  <c r="G30" i="33"/>
  <c r="G29" i="33"/>
  <c r="G24" i="33"/>
  <c r="G25" i="33"/>
  <c r="G19" i="33"/>
  <c r="G14" i="33"/>
  <c r="G12" i="33"/>
  <c r="G35" i="33"/>
  <c r="G11" i="33"/>
  <c r="G9" i="33" l="1"/>
  <c r="G18" i="33"/>
  <c r="G7" i="33" l="1"/>
  <c r="G22" i="33"/>
  <c r="G17" i="33" l="1"/>
  <c r="G4" i="33" l="1"/>
  <c r="G6" i="33"/>
  <c r="G5" i="33"/>
  <c r="G23" i="33"/>
  <c r="G42" i="33"/>
  <c r="G15" i="33"/>
  <c r="G45" i="33" l="1"/>
  <c r="G20" i="33"/>
  <c r="G41" i="33" l="1"/>
  <c r="F39" i="33"/>
  <c r="H39" i="33" s="1"/>
  <c r="F38" i="33"/>
  <c r="H38" i="33" s="1"/>
  <c r="F37" i="33"/>
  <c r="H37" i="33" s="1"/>
  <c r="F36" i="33"/>
  <c r="H36" i="33" s="1"/>
  <c r="F35" i="33"/>
  <c r="H35" i="33" s="1"/>
  <c r="F34" i="33"/>
  <c r="H34" i="33" s="1"/>
  <c r="F33" i="33"/>
  <c r="H33" i="33" s="1"/>
  <c r="F32" i="33"/>
  <c r="H32" i="33" s="1"/>
  <c r="F31" i="33"/>
  <c r="H31" i="33" s="1"/>
  <c r="F30" i="33"/>
  <c r="H30" i="33" s="1"/>
  <c r="F29" i="33"/>
  <c r="H29" i="33" s="1"/>
  <c r="F28" i="33"/>
  <c r="H28" i="33" s="1"/>
  <c r="F26" i="33"/>
  <c r="H26" i="33" s="1"/>
  <c r="F25" i="33"/>
  <c r="H25" i="33" s="1"/>
  <c r="F24" i="33"/>
  <c r="H24" i="33" s="1"/>
  <c r="F23" i="33"/>
  <c r="H23" i="33" s="1"/>
  <c r="F22" i="33"/>
  <c r="H22" i="33" s="1"/>
  <c r="F20" i="33"/>
  <c r="H20" i="33" s="1"/>
  <c r="F19" i="33"/>
  <c r="H19" i="33" s="1"/>
  <c r="F18" i="33"/>
  <c r="H18" i="33" s="1"/>
  <c r="F17" i="33"/>
  <c r="H17" i="33" s="1"/>
  <c r="F16" i="33"/>
  <c r="H16" i="33" s="1"/>
  <c r="F15" i="33"/>
  <c r="H15" i="33" s="1"/>
  <c r="F14" i="33"/>
  <c r="H14" i="33" s="1"/>
  <c r="F12" i="33"/>
  <c r="H12" i="33" s="1"/>
  <c r="F11" i="33"/>
  <c r="H11" i="33" s="1"/>
  <c r="F9" i="33"/>
  <c r="H9" i="33" s="1"/>
  <c r="F7" i="33"/>
  <c r="F6" i="33"/>
  <c r="F5" i="33"/>
  <c r="F4" i="33"/>
  <c r="F40" i="33"/>
  <c r="H40" i="33" s="1"/>
  <c r="F42" i="33"/>
  <c r="H42" i="33" s="1"/>
  <c r="F45" i="33"/>
  <c r="H45" i="33" s="1"/>
  <c r="F44" i="33"/>
  <c r="H44" i="33" s="1"/>
  <c r="G43" i="33"/>
  <c r="H43" i="33" l="1"/>
  <c r="H41" i="33"/>
  <c r="H4" i="33"/>
  <c r="H5" i="33"/>
  <c r="H6" i="33"/>
  <c r="H7" i="33"/>
  <c r="C7" i="33" l="1"/>
  <c r="AC128" i="31" s="1"/>
  <c r="E21" i="21" s="1"/>
  <c r="D275" i="31" l="1"/>
  <c r="C275" i="31"/>
  <c r="AB204" i="31"/>
  <c r="AB183" i="31"/>
  <c r="AB167" i="31"/>
  <c r="AB148" i="31"/>
  <c r="AB114" i="31"/>
  <c r="AB83" i="31"/>
  <c r="AB69" i="31"/>
  <c r="AB51" i="31"/>
  <c r="AB24" i="31"/>
  <c r="D269" i="31"/>
  <c r="F268" i="31"/>
  <c r="D241" i="31"/>
  <c r="E240" i="31"/>
  <c r="K182" i="31"/>
  <c r="D181" i="31"/>
  <c r="F129" i="31"/>
  <c r="E128" i="31"/>
  <c r="E68" i="31"/>
  <c r="F67" i="31"/>
  <c r="K24" i="31"/>
  <c r="B24" i="31"/>
  <c r="D23" i="31"/>
  <c r="C68" i="31"/>
  <c r="D67" i="31"/>
  <c r="B23" i="31"/>
  <c r="S69" i="31"/>
  <c r="C268" i="31"/>
  <c r="E181" i="31"/>
  <c r="D68" i="31"/>
  <c r="D24" i="31"/>
  <c r="AA204" i="31"/>
  <c r="AA183" i="31"/>
  <c r="AA167" i="31"/>
  <c r="AA148" i="31"/>
  <c r="AA114" i="31"/>
  <c r="AA83" i="31"/>
  <c r="AA69" i="31"/>
  <c r="AA51" i="31"/>
  <c r="AA24" i="31"/>
  <c r="F269" i="31"/>
  <c r="E268" i="31"/>
  <c r="E241" i="31"/>
  <c r="D240" i="31"/>
  <c r="K181" i="31"/>
  <c r="B181" i="31"/>
  <c r="K129" i="31"/>
  <c r="D128" i="31"/>
  <c r="F68" i="31"/>
  <c r="E67" i="31"/>
  <c r="F24" i="31"/>
  <c r="K23" i="31"/>
  <c r="C23" i="31"/>
  <c r="S204" i="31"/>
  <c r="S183" i="31"/>
  <c r="S167" i="31"/>
  <c r="S148" i="31"/>
  <c r="U114" i="31"/>
  <c r="U83" i="31"/>
  <c r="U69" i="31"/>
  <c r="U51" i="31"/>
  <c r="U24" i="31"/>
  <c r="K269" i="31"/>
  <c r="D268" i="31"/>
  <c r="K241" i="31"/>
  <c r="D182" i="31"/>
  <c r="F181" i="31"/>
  <c r="D129" i="31"/>
  <c r="K128" i="31"/>
  <c r="K68" i="31"/>
  <c r="E24" i="31"/>
  <c r="F23" i="31"/>
  <c r="S83" i="31"/>
  <c r="S24" i="31"/>
  <c r="K240" i="31"/>
  <c r="E129" i="31"/>
  <c r="K67" i="31"/>
  <c r="E23" i="31"/>
  <c r="R204" i="31"/>
  <c r="R183" i="31"/>
  <c r="R167" i="31"/>
  <c r="R148" i="31"/>
  <c r="S114" i="31"/>
  <c r="S51" i="31"/>
  <c r="K268" i="31"/>
  <c r="E182" i="31"/>
  <c r="F128" i="31"/>
  <c r="B67" i="31"/>
  <c r="AC151" i="31"/>
  <c r="F239" i="31"/>
  <c r="J179" i="31"/>
  <c r="B20" i="31"/>
  <c r="J270" i="31"/>
  <c r="F63" i="31"/>
  <c r="J17" i="31"/>
  <c r="D17" i="31"/>
  <c r="C175" i="31"/>
  <c r="F149" i="31"/>
  <c r="J271" i="31"/>
  <c r="E239" i="31"/>
  <c r="J119" i="31"/>
  <c r="F20" i="31"/>
  <c r="F270" i="31"/>
  <c r="J236" i="31"/>
  <c r="H17" i="31"/>
  <c r="J175" i="31"/>
  <c r="B175" i="31"/>
  <c r="E149" i="31"/>
  <c r="J239" i="31"/>
  <c r="D239" i="31"/>
  <c r="J65" i="31"/>
  <c r="E20" i="31"/>
  <c r="E270" i="31"/>
  <c r="F236" i="31"/>
  <c r="F17" i="31"/>
  <c r="F175" i="31"/>
  <c r="J116" i="31"/>
  <c r="H239" i="31"/>
  <c r="J213" i="31"/>
  <c r="J20" i="31"/>
  <c r="D20" i="31"/>
  <c r="J63" i="31"/>
  <c r="C17" i="31"/>
  <c r="E17" i="31"/>
  <c r="D175" i="31"/>
  <c r="F116" i="31"/>
  <c r="F10" i="33"/>
  <c r="H10" i="33" s="1"/>
  <c r="J197" i="31"/>
  <c r="F197" i="31"/>
  <c r="D197" i="31"/>
  <c r="S253" i="31"/>
  <c r="AB209" i="31"/>
  <c r="AB197" i="31"/>
  <c r="AA186" i="31"/>
  <c r="AB170" i="31"/>
  <c r="AB128" i="31"/>
  <c r="T235" i="31"/>
  <c r="AA209" i="31"/>
  <c r="AA197" i="31"/>
  <c r="U164" i="31"/>
  <c r="AA170" i="31"/>
  <c r="AA128" i="31"/>
  <c r="S252" i="31"/>
  <c r="U236" i="31"/>
  <c r="AB208" i="31"/>
  <c r="X185" i="31"/>
  <c r="AB164" i="31"/>
  <c r="AB151" i="31"/>
  <c r="X104" i="31"/>
  <c r="U261" i="31"/>
  <c r="AA208" i="31"/>
  <c r="AA164" i="31"/>
  <c r="S199" i="31"/>
  <c r="AB186" i="31"/>
  <c r="AA151" i="31"/>
  <c r="AA18" i="31"/>
  <c r="E306" i="31"/>
  <c r="D306" i="31"/>
  <c r="AB18" i="31"/>
  <c r="J295" i="31"/>
  <c r="C258" i="31"/>
  <c r="K258" i="31"/>
  <c r="K225" i="31"/>
  <c r="D210" i="31"/>
  <c r="K295" i="31"/>
  <c r="K231" i="31"/>
  <c r="C295" i="31"/>
  <c r="F258" i="31"/>
  <c r="G225" i="31"/>
  <c r="E231" i="31"/>
  <c r="K210" i="31"/>
  <c r="E295" i="31"/>
  <c r="D258" i="31"/>
  <c r="F225" i="31"/>
  <c r="D231" i="31"/>
  <c r="C203" i="31"/>
  <c r="E258" i="31"/>
  <c r="D225" i="31"/>
  <c r="F186" i="31"/>
  <c r="E186" i="31"/>
  <c r="F156" i="31"/>
  <c r="D186" i="31"/>
  <c r="E156" i="31"/>
  <c r="D157" i="31"/>
  <c r="D133" i="31"/>
  <c r="D156" i="31"/>
  <c r="D131" i="31"/>
  <c r="E92" i="31"/>
  <c r="C92" i="31"/>
  <c r="F131" i="31"/>
  <c r="F32" i="31"/>
  <c r="D32" i="31"/>
  <c r="E32" i="31"/>
  <c r="J131" i="31"/>
  <c r="E20" i="21" l="1"/>
  <c r="F20" i="21"/>
  <c r="Q57" i="1" s="1"/>
  <c r="G73" i="32"/>
  <c r="G60" i="32"/>
  <c r="G58" i="32"/>
  <c r="J74" i="32"/>
  <c r="J75" i="32" s="1"/>
  <c r="N29" i="32"/>
  <c r="N30" i="32" s="1"/>
  <c r="N31" i="32" s="1"/>
  <c r="N32" i="32" s="1"/>
  <c r="N33" i="32" s="1"/>
  <c r="N34" i="32" s="1"/>
  <c r="N35" i="32" s="1"/>
  <c r="N36" i="32" s="1"/>
  <c r="I31" i="32"/>
  <c r="I34" i="32" s="1"/>
  <c r="I29" i="32"/>
  <c r="I30" i="32" s="1"/>
  <c r="F39" i="32"/>
  <c r="F40" i="32"/>
  <c r="F41" i="32"/>
  <c r="C41" i="32"/>
  <c r="C40" i="32"/>
  <c r="C39" i="32"/>
  <c r="N11" i="32"/>
  <c r="N10" i="32"/>
  <c r="N12" i="32" s="1"/>
  <c r="N15" i="32" s="1"/>
  <c r="I11" i="32"/>
  <c r="I12" i="32" s="1"/>
  <c r="I21" i="32" s="1"/>
  <c r="I10" i="32"/>
  <c r="C21" i="32"/>
  <c r="C20" i="32"/>
  <c r="F21" i="32"/>
  <c r="F20" i="32"/>
  <c r="C76" i="32"/>
  <c r="G76" i="32" s="1"/>
  <c r="C60" i="32"/>
  <c r="G59" i="32" s="1"/>
  <c r="G21" i="21"/>
  <c r="N13" i="32" l="1"/>
  <c r="G75" i="32"/>
  <c r="G74" i="32"/>
  <c r="E25" i="21"/>
  <c r="G20" i="21"/>
  <c r="E24" i="21" s="1"/>
  <c r="P57" i="1" s="1"/>
  <c r="I32" i="32"/>
  <c r="I33" i="32" s="1"/>
  <c r="N14" i="32"/>
  <c r="N16" i="32" s="1"/>
  <c r="N17" i="32" s="1"/>
  <c r="N20" i="32" s="1"/>
  <c r="I39" i="32"/>
  <c r="I41" i="32"/>
  <c r="I40" i="32"/>
  <c r="N41" i="32"/>
  <c r="N40" i="32"/>
  <c r="N39" i="32"/>
  <c r="I20" i="32"/>
  <c r="D321" i="31"/>
  <c r="G323" i="31"/>
  <c r="G330" i="31"/>
  <c r="E34" i="21" l="1"/>
  <c r="P58" i="1"/>
  <c r="G8" i="33"/>
  <c r="G13" i="33"/>
  <c r="F27" i="33"/>
  <c r="G27" i="33"/>
  <c r="F8" i="33"/>
  <c r="H8" i="33" s="1"/>
  <c r="F13" i="33"/>
  <c r="N21" i="32"/>
  <c r="G226" i="31"/>
  <c r="H27" i="33" l="1"/>
  <c r="H13" i="33"/>
  <c r="B89" i="21"/>
  <c r="D29" i="1" l="1"/>
  <c r="D27" i="1"/>
  <c r="E26" i="21" s="1"/>
  <c r="D18" i="1" l="1"/>
  <c r="E15" i="21" l="1"/>
  <c r="M63" i="1" l="1"/>
  <c r="N49" i="21"/>
  <c r="J49" i="21"/>
  <c r="B79" i="21" l="1"/>
  <c r="C32" i="30" l="1"/>
  <c r="C33" i="30"/>
  <c r="C34" i="30"/>
  <c r="C35" i="30"/>
  <c r="C36" i="30"/>
  <c r="C37" i="30"/>
  <c r="C38" i="30"/>
  <c r="C39" i="30"/>
  <c r="C40" i="30"/>
  <c r="C41" i="30"/>
  <c r="C42" i="30"/>
  <c r="C43" i="30"/>
  <c r="C44" i="30"/>
  <c r="C45" i="30"/>
  <c r="C46" i="30"/>
  <c r="C47" i="30"/>
  <c r="C48" i="30"/>
  <c r="C49" i="30"/>
  <c r="C50" i="30"/>
  <c r="C51" i="30"/>
  <c r="C52" i="30"/>
  <c r="C53" i="30"/>
  <c r="C54" i="30"/>
  <c r="C55" i="30"/>
  <c r="C56" i="30"/>
  <c r="C57" i="30"/>
  <c r="C58" i="30"/>
  <c r="C59" i="30"/>
  <c r="C60" i="30"/>
  <c r="C61" i="30"/>
  <c r="C62" i="30"/>
  <c r="G326" i="31" s="1"/>
  <c r="C63" i="30"/>
  <c r="C64" i="30"/>
  <c r="C65" i="30"/>
  <c r="C66" i="30"/>
  <c r="C67" i="30"/>
  <c r="C68" i="30"/>
  <c r="C69" i="30"/>
  <c r="C70" i="30"/>
  <c r="C71" i="30"/>
  <c r="C72" i="30"/>
  <c r="C73" i="30"/>
  <c r="C74" i="30"/>
  <c r="C75" i="30"/>
  <c r="C76" i="30"/>
  <c r="C77" i="30"/>
  <c r="C78" i="30"/>
  <c r="C79" i="30"/>
  <c r="C80" i="30"/>
  <c r="C81" i="30"/>
  <c r="C82" i="30"/>
  <c r="C83" i="30"/>
  <c r="C84" i="30"/>
  <c r="C85" i="30"/>
  <c r="C86" i="30"/>
  <c r="C87" i="30"/>
  <c r="C88" i="30"/>
  <c r="C89" i="30"/>
  <c r="C90" i="30"/>
  <c r="C91" i="30"/>
  <c r="C92" i="30"/>
  <c r="C93" i="30"/>
  <c r="C94" i="30"/>
  <c r="C95" i="30"/>
  <c r="C96" i="30"/>
  <c r="C97" i="30"/>
  <c r="C98" i="30"/>
  <c r="C99" i="30"/>
  <c r="C100" i="30"/>
  <c r="C101" i="30"/>
  <c r="C102" i="30"/>
  <c r="C103" i="30"/>
  <c r="C104" i="30"/>
  <c r="C105" i="30"/>
  <c r="C106" i="30"/>
  <c r="C107" i="30"/>
  <c r="C108" i="30"/>
  <c r="C109" i="30"/>
  <c r="C110" i="30"/>
  <c r="C111" i="30"/>
  <c r="C112" i="30"/>
  <c r="C113" i="30"/>
  <c r="C114" i="30"/>
  <c r="C115" i="30"/>
  <c r="C116" i="30"/>
  <c r="C117" i="30"/>
  <c r="C118" i="30"/>
  <c r="C119" i="30"/>
  <c r="C120" i="30"/>
  <c r="C121" i="30"/>
  <c r="C122" i="30"/>
  <c r="C123" i="30"/>
  <c r="C124" i="30"/>
  <c r="C125" i="30"/>
  <c r="C126" i="30"/>
  <c r="C127" i="30"/>
  <c r="C128" i="30"/>
  <c r="C129" i="30"/>
  <c r="C130" i="30"/>
  <c r="C131" i="30"/>
  <c r="C132" i="30"/>
  <c r="C133" i="30"/>
  <c r="C134" i="30"/>
  <c r="C135" i="30"/>
  <c r="C136" i="30"/>
  <c r="C137" i="30"/>
  <c r="C138" i="30"/>
  <c r="C139" i="30"/>
  <c r="C140" i="30"/>
  <c r="C141" i="30"/>
  <c r="C142" i="30"/>
  <c r="C143" i="30"/>
  <c r="C144" i="30"/>
  <c r="C145" i="30"/>
  <c r="C146" i="30"/>
  <c r="C147" i="30"/>
  <c r="C148" i="30"/>
  <c r="C149" i="30"/>
  <c r="C150" i="30"/>
  <c r="C151" i="30"/>
  <c r="C152" i="30"/>
  <c r="C153" i="30"/>
  <c r="C154" i="30"/>
  <c r="C155" i="30"/>
  <c r="C156" i="30"/>
  <c r="C157" i="30"/>
  <c r="C158" i="30"/>
  <c r="C159" i="30"/>
  <c r="C160" i="30"/>
  <c r="C161" i="30"/>
  <c r="C162" i="30"/>
  <c r="C163" i="30"/>
  <c r="C164" i="30"/>
  <c r="C165" i="30"/>
  <c r="C166" i="30"/>
  <c r="C167" i="30"/>
  <c r="C168" i="30"/>
  <c r="C169" i="30"/>
  <c r="C170" i="30"/>
  <c r="C171" i="30"/>
  <c r="C172" i="30"/>
  <c r="C173" i="30"/>
  <c r="C174" i="30"/>
  <c r="C175" i="30"/>
  <c r="C176" i="30"/>
  <c r="C177" i="30"/>
  <c r="C178" i="30"/>
  <c r="C179" i="30"/>
  <c r="C180" i="30"/>
  <c r="C181" i="30"/>
  <c r="C182" i="30"/>
  <c r="C183" i="30"/>
  <c r="C184" i="30"/>
  <c r="C185" i="30"/>
  <c r="C186" i="30"/>
  <c r="C187" i="30"/>
  <c r="C188" i="30"/>
  <c r="C189" i="30"/>
  <c r="C190" i="30"/>
  <c r="C191" i="30"/>
  <c r="C192" i="30"/>
  <c r="C193" i="30"/>
  <c r="C194" i="30"/>
  <c r="C195" i="30"/>
  <c r="C196" i="30"/>
  <c r="C197" i="30"/>
  <c r="C198" i="30"/>
  <c r="C199" i="30"/>
  <c r="C200" i="30"/>
  <c r="C201" i="30"/>
  <c r="C202" i="30"/>
  <c r="C203" i="30"/>
  <c r="C204" i="30"/>
  <c r="C205" i="30"/>
  <c r="C206" i="30"/>
  <c r="C207" i="30"/>
  <c r="C208" i="30"/>
  <c r="C209" i="30"/>
  <c r="C210" i="30"/>
  <c r="C211" i="30"/>
  <c r="C212" i="30"/>
  <c r="C213" i="30"/>
  <c r="C214" i="30"/>
  <c r="C215" i="30"/>
  <c r="C216" i="30"/>
  <c r="C217" i="30"/>
  <c r="C218" i="30"/>
  <c r="C219" i="30"/>
  <c r="C220" i="30"/>
  <c r="C221" i="30"/>
  <c r="C222" i="30"/>
  <c r="C223" i="30"/>
  <c r="C224" i="30"/>
  <c r="C225" i="30"/>
  <c r="C226" i="30"/>
  <c r="C227" i="30"/>
  <c r="C228" i="30"/>
  <c r="C229" i="30"/>
  <c r="C230" i="30"/>
  <c r="C231" i="30"/>
  <c r="C232" i="30"/>
  <c r="C233" i="30"/>
  <c r="C234" i="30"/>
  <c r="C235" i="30"/>
  <c r="C236" i="30"/>
  <c r="C237" i="30"/>
  <c r="C238" i="30"/>
  <c r="C239" i="30"/>
  <c r="C240" i="30"/>
  <c r="C241" i="30"/>
  <c r="C242" i="30"/>
  <c r="C243" i="30"/>
  <c r="C244" i="30"/>
  <c r="C245" i="30"/>
  <c r="C246" i="30"/>
  <c r="C247" i="30"/>
  <c r="C248" i="30"/>
  <c r="C249" i="30"/>
  <c r="C250" i="30"/>
  <c r="C251" i="30"/>
  <c r="C252" i="30"/>
  <c r="C253" i="30"/>
  <c r="C254" i="30"/>
  <c r="C255" i="30"/>
  <c r="C256" i="30"/>
  <c r="C257" i="30"/>
  <c r="C258" i="30"/>
  <c r="C259" i="30"/>
  <c r="C260" i="30"/>
  <c r="C261" i="30"/>
  <c r="C262" i="30"/>
  <c r="C263" i="30"/>
  <c r="C264" i="30"/>
  <c r="C265" i="30"/>
  <c r="C266" i="30"/>
  <c r="C267" i="30"/>
  <c r="C268" i="30"/>
  <c r="C269" i="30"/>
  <c r="C270" i="30"/>
  <c r="C271" i="30"/>
  <c r="C272" i="30"/>
  <c r="C273" i="30"/>
  <c r="C274" i="30"/>
  <c r="C275" i="30"/>
  <c r="C276" i="30"/>
  <c r="C277" i="30"/>
  <c r="C278" i="30"/>
  <c r="C279" i="30"/>
  <c r="C280" i="30"/>
  <c r="C281" i="30"/>
  <c r="C282" i="30"/>
  <c r="C283" i="30"/>
  <c r="C284" i="30"/>
  <c r="C285" i="30"/>
  <c r="C286" i="30"/>
  <c r="C287" i="30"/>
  <c r="C288" i="30"/>
  <c r="C289" i="30"/>
  <c r="C290" i="30"/>
  <c r="C291" i="30"/>
  <c r="C292" i="30"/>
  <c r="C293" i="30"/>
  <c r="C294" i="30"/>
  <c r="C295" i="30"/>
  <c r="C296" i="30"/>
  <c r="C297" i="30"/>
  <c r="C298" i="30"/>
  <c r="C299" i="30"/>
  <c r="C300" i="30"/>
  <c r="C301" i="30"/>
  <c r="C302" i="30"/>
  <c r="C303" i="30"/>
  <c r="C304" i="30"/>
  <c r="C305" i="30"/>
  <c r="C306" i="30"/>
  <c r="C307" i="30"/>
  <c r="C308" i="30"/>
  <c r="C309" i="30"/>
  <c r="C310" i="30"/>
  <c r="C311" i="30"/>
  <c r="C312" i="30"/>
  <c r="C313" i="30"/>
  <c r="C314" i="30"/>
  <c r="C315" i="30"/>
  <c r="C316" i="30"/>
  <c r="C317" i="30"/>
  <c r="C318" i="30"/>
  <c r="C319" i="30"/>
  <c r="C320" i="30"/>
  <c r="C321" i="30"/>
  <c r="C322" i="30"/>
  <c r="C323" i="30"/>
  <c r="C324" i="30"/>
  <c r="C325" i="30"/>
  <c r="C326" i="30"/>
  <c r="C327" i="30"/>
  <c r="C328" i="30"/>
  <c r="C329" i="30"/>
  <c r="C330" i="30"/>
  <c r="C331" i="30"/>
  <c r="C332" i="30"/>
  <c r="C333" i="30"/>
  <c r="C334" i="30"/>
  <c r="C335" i="30"/>
  <c r="C336" i="30"/>
  <c r="C337" i="30"/>
  <c r="C338" i="30"/>
  <c r="C339" i="30"/>
  <c r="C340" i="30"/>
  <c r="C341" i="30"/>
  <c r="C342" i="30"/>
  <c r="C343" i="30"/>
  <c r="C344" i="30"/>
  <c r="C345" i="30"/>
  <c r="C346" i="30"/>
  <c r="C347" i="30"/>
  <c r="C348" i="30"/>
  <c r="C349" i="30"/>
  <c r="C350" i="30"/>
  <c r="C351" i="30"/>
  <c r="C352" i="30"/>
  <c r="C353" i="30"/>
  <c r="C354" i="30"/>
  <c r="C355" i="30"/>
  <c r="C356" i="30"/>
  <c r="C357" i="30"/>
  <c r="C358" i="30"/>
  <c r="C359" i="30"/>
  <c r="C360" i="30"/>
  <c r="C361" i="30"/>
  <c r="C362" i="30"/>
  <c r="C363" i="30"/>
  <c r="C364" i="30"/>
  <c r="C365" i="30"/>
  <c r="C366" i="30"/>
  <c r="C367" i="30"/>
  <c r="C368" i="30"/>
  <c r="C369" i="30"/>
  <c r="C370" i="30"/>
  <c r="C371" i="30"/>
  <c r="C372" i="30"/>
  <c r="C373" i="30"/>
  <c r="C374" i="30"/>
  <c r="C375" i="30"/>
  <c r="C376" i="30"/>
  <c r="C377" i="30"/>
  <c r="C378" i="30"/>
  <c r="C379" i="30"/>
  <c r="C380" i="30"/>
  <c r="C381" i="30"/>
  <c r="C382" i="30"/>
  <c r="C383" i="30"/>
  <c r="C384" i="30"/>
  <c r="C385" i="30"/>
  <c r="C386" i="30"/>
  <c r="C387" i="30"/>
  <c r="C388" i="30"/>
  <c r="C389" i="30"/>
  <c r="C390" i="30"/>
  <c r="C391" i="30"/>
  <c r="C392" i="30"/>
  <c r="C393" i="30"/>
  <c r="C394" i="30"/>
  <c r="C395" i="30"/>
  <c r="C396" i="30"/>
  <c r="C397" i="30"/>
  <c r="C398" i="30"/>
  <c r="C399" i="30"/>
  <c r="C400" i="30"/>
  <c r="C401" i="30"/>
  <c r="C402" i="30"/>
  <c r="C403" i="30"/>
  <c r="C404" i="30"/>
  <c r="C405" i="30"/>
  <c r="C406" i="30"/>
  <c r="C407" i="30"/>
  <c r="C408" i="30"/>
  <c r="C409" i="30"/>
  <c r="C410" i="30"/>
  <c r="C411" i="30"/>
  <c r="C412" i="30"/>
  <c r="C413" i="30"/>
  <c r="C414" i="30"/>
  <c r="C415" i="30"/>
  <c r="C416" i="30"/>
  <c r="C417" i="30"/>
  <c r="C418" i="30"/>
  <c r="C419" i="30"/>
  <c r="C420" i="30"/>
  <c r="C421" i="30"/>
  <c r="C422" i="30"/>
  <c r="C423" i="30"/>
  <c r="C424" i="30"/>
  <c r="C425" i="30"/>
  <c r="C426" i="30"/>
  <c r="C427" i="30"/>
  <c r="C428" i="30"/>
  <c r="C429" i="30"/>
  <c r="C430" i="30"/>
  <c r="C431" i="30"/>
  <c r="C432" i="30"/>
  <c r="C433" i="30"/>
  <c r="C434" i="30"/>
  <c r="C435" i="30"/>
  <c r="C436" i="30"/>
  <c r="C437" i="30"/>
  <c r="C438" i="30"/>
  <c r="C439" i="30"/>
  <c r="C440" i="30"/>
  <c r="C441" i="30"/>
  <c r="C442" i="30"/>
  <c r="C443" i="30"/>
  <c r="C444" i="30"/>
  <c r="C445" i="30"/>
  <c r="C446" i="30"/>
  <c r="C447" i="30"/>
  <c r="C448" i="30"/>
  <c r="C449" i="30"/>
  <c r="C450" i="30"/>
  <c r="C451" i="30"/>
  <c r="C452" i="30"/>
  <c r="C453" i="30"/>
  <c r="C454" i="30"/>
  <c r="C455" i="30"/>
  <c r="C456" i="30"/>
  <c r="C457" i="30"/>
  <c r="C458" i="30"/>
  <c r="C459" i="30"/>
  <c r="C460" i="30"/>
  <c r="C461" i="30"/>
  <c r="C462" i="30"/>
  <c r="C463" i="30"/>
  <c r="C464" i="30"/>
  <c r="C465" i="30"/>
  <c r="C466" i="30"/>
  <c r="C467" i="30"/>
  <c r="C468" i="30"/>
  <c r="C469" i="30"/>
  <c r="C470" i="30"/>
  <c r="C471" i="30"/>
  <c r="C472" i="30"/>
  <c r="C473" i="30"/>
  <c r="C474" i="30"/>
  <c r="C475" i="30"/>
  <c r="C476" i="30"/>
  <c r="C477" i="30"/>
  <c r="C478" i="30"/>
  <c r="C479" i="30"/>
  <c r="C480" i="30"/>
  <c r="C481" i="30"/>
  <c r="C482" i="30"/>
  <c r="C483" i="30"/>
  <c r="C484" i="30"/>
  <c r="C485" i="30"/>
  <c r="C486" i="30"/>
  <c r="C487" i="30"/>
  <c r="C488" i="30"/>
  <c r="C489" i="30"/>
  <c r="C490" i="30"/>
  <c r="C491" i="30"/>
  <c r="C492" i="30"/>
  <c r="C493" i="30"/>
  <c r="C494" i="30"/>
  <c r="C495" i="30"/>
  <c r="C496" i="30"/>
  <c r="C497" i="30"/>
  <c r="C498" i="30"/>
  <c r="C499" i="30"/>
  <c r="C500" i="30"/>
  <c r="C501" i="30"/>
  <c r="C502" i="30"/>
  <c r="C503" i="30"/>
  <c r="C504" i="30"/>
  <c r="C505" i="30"/>
  <c r="C506" i="30"/>
  <c r="C507" i="30"/>
  <c r="C508" i="30"/>
  <c r="C509" i="30"/>
  <c r="C510" i="30"/>
  <c r="C511" i="30"/>
  <c r="C512" i="30"/>
  <c r="C513" i="30"/>
  <c r="C514" i="30"/>
  <c r="C515" i="30"/>
  <c r="C516" i="30"/>
  <c r="C517" i="30"/>
  <c r="C518" i="30"/>
  <c r="C519" i="30"/>
  <c r="C520" i="30"/>
  <c r="C521" i="30"/>
  <c r="C522" i="30"/>
  <c r="C523" i="30"/>
  <c r="C524" i="30"/>
  <c r="C525" i="30"/>
  <c r="C526" i="30"/>
  <c r="C527" i="30"/>
  <c r="C528" i="30"/>
  <c r="C529" i="30"/>
  <c r="C530" i="30"/>
  <c r="C531" i="30"/>
  <c r="C532" i="30"/>
  <c r="C533" i="30"/>
  <c r="C534" i="30"/>
  <c r="C535" i="30"/>
  <c r="C536" i="30"/>
  <c r="C537" i="30"/>
  <c r="C538" i="30"/>
  <c r="C539" i="30"/>
  <c r="C540" i="30"/>
  <c r="C541" i="30"/>
  <c r="C542" i="30"/>
  <c r="C543" i="30"/>
  <c r="C544" i="30"/>
  <c r="C545" i="30"/>
  <c r="C546" i="30"/>
  <c r="C547" i="30"/>
  <c r="C548" i="30"/>
  <c r="C549" i="30"/>
  <c r="C550" i="30"/>
  <c r="C551" i="30"/>
  <c r="C552" i="30"/>
  <c r="C553" i="30"/>
  <c r="C554" i="30"/>
  <c r="C555" i="30"/>
  <c r="C556" i="30"/>
  <c r="C557" i="30"/>
  <c r="C558" i="30"/>
  <c r="C559" i="30"/>
  <c r="C560" i="30"/>
  <c r="C561" i="30"/>
  <c r="C562" i="30"/>
  <c r="C563" i="30"/>
  <c r="C564" i="30"/>
  <c r="C565" i="30"/>
  <c r="C566" i="30"/>
  <c r="C567" i="30"/>
  <c r="C568" i="30"/>
  <c r="C569" i="30"/>
  <c r="C570" i="30"/>
  <c r="C571" i="30"/>
  <c r="C572" i="30"/>
  <c r="C573" i="30"/>
  <c r="C574" i="30"/>
  <c r="C575" i="30"/>
  <c r="C576" i="30"/>
  <c r="C577" i="30"/>
  <c r="C578" i="30"/>
  <c r="C579" i="30"/>
  <c r="C580" i="30"/>
  <c r="C581" i="30"/>
  <c r="C582" i="30"/>
  <c r="C583" i="30"/>
  <c r="C584" i="30"/>
  <c r="C585" i="30"/>
  <c r="C586" i="30"/>
  <c r="C587" i="30"/>
  <c r="C588" i="30"/>
  <c r="C589" i="30"/>
  <c r="C590" i="30"/>
  <c r="C591" i="30"/>
  <c r="C592" i="30"/>
  <c r="C593" i="30"/>
  <c r="C594" i="30"/>
  <c r="C595" i="30"/>
  <c r="C596" i="30"/>
  <c r="C597" i="30"/>
  <c r="C598" i="30"/>
  <c r="C599" i="30"/>
  <c r="C600" i="30"/>
  <c r="C601" i="30"/>
  <c r="C602" i="30"/>
  <c r="C603" i="30"/>
  <c r="C604" i="30"/>
  <c r="C605" i="30"/>
  <c r="C606" i="30"/>
  <c r="C607" i="30"/>
  <c r="C608" i="30"/>
  <c r="C609" i="30"/>
  <c r="C610" i="30"/>
  <c r="C611" i="30"/>
  <c r="C612" i="30"/>
  <c r="C613" i="30"/>
  <c r="C614" i="30"/>
  <c r="C615" i="30"/>
  <c r="C616" i="30"/>
  <c r="C617" i="30"/>
  <c r="C618" i="30"/>
  <c r="C619" i="30"/>
  <c r="C620" i="30"/>
  <c r="C621" i="30"/>
  <c r="C622" i="30"/>
  <c r="C623" i="30"/>
  <c r="C624" i="30"/>
  <c r="C625" i="30"/>
  <c r="C626" i="30"/>
  <c r="C627" i="30"/>
  <c r="C628" i="30"/>
  <c r="C629" i="30"/>
  <c r="C630" i="30"/>
  <c r="C631" i="30"/>
  <c r="C632" i="30"/>
  <c r="C633" i="30"/>
  <c r="C634" i="30"/>
  <c r="C635" i="30"/>
  <c r="C636" i="30"/>
  <c r="C637" i="30"/>
  <c r="C638" i="30"/>
  <c r="C639" i="30"/>
  <c r="C640" i="30"/>
  <c r="C641" i="30"/>
  <c r="C642" i="30"/>
  <c r="C643" i="30"/>
  <c r="C644" i="30"/>
  <c r="C645" i="30"/>
  <c r="C646" i="30"/>
  <c r="C647" i="30"/>
  <c r="C648" i="30"/>
  <c r="C649" i="30"/>
  <c r="C650" i="30"/>
  <c r="C651" i="30"/>
  <c r="C652" i="30"/>
  <c r="C653" i="30"/>
  <c r="C654" i="30"/>
  <c r="C655" i="30"/>
  <c r="C656" i="30"/>
  <c r="C657" i="30"/>
  <c r="C658" i="30"/>
  <c r="C659" i="30"/>
  <c r="C660" i="30"/>
  <c r="C661" i="30"/>
  <c r="C662" i="30"/>
  <c r="C663" i="30"/>
  <c r="C664" i="30"/>
  <c r="C665" i="30"/>
  <c r="C666" i="30"/>
  <c r="C667" i="30"/>
  <c r="C668" i="30"/>
  <c r="C669" i="30"/>
  <c r="C670" i="30"/>
  <c r="C671" i="30"/>
  <c r="C672" i="30"/>
  <c r="C673" i="30"/>
  <c r="C674" i="30"/>
  <c r="C675" i="30"/>
  <c r="C676" i="30"/>
  <c r="C677" i="30"/>
  <c r="C678" i="30"/>
  <c r="C679" i="30"/>
  <c r="C680" i="30"/>
  <c r="C681" i="30"/>
  <c r="C682" i="30"/>
  <c r="C683" i="30"/>
  <c r="C684" i="30"/>
  <c r="C685" i="30"/>
  <c r="C686" i="30"/>
  <c r="C687" i="30"/>
  <c r="C688" i="30"/>
  <c r="C689" i="30"/>
  <c r="C690" i="30"/>
  <c r="C691" i="30"/>
  <c r="C692" i="30"/>
  <c r="C693" i="30"/>
  <c r="C694" i="30"/>
  <c r="C695" i="30"/>
  <c r="C696" i="30"/>
  <c r="C697" i="30"/>
  <c r="C698" i="30"/>
  <c r="C699" i="30"/>
  <c r="C700" i="30"/>
  <c r="C701" i="30"/>
  <c r="C702" i="30"/>
  <c r="C703" i="30"/>
  <c r="C704" i="30"/>
  <c r="C705" i="30"/>
  <c r="C706" i="30"/>
  <c r="C707" i="30"/>
  <c r="C708" i="30"/>
  <c r="C709" i="30"/>
  <c r="C710" i="30"/>
  <c r="C711" i="30"/>
  <c r="C712" i="30"/>
  <c r="C713" i="30"/>
  <c r="C714" i="30"/>
  <c r="C715" i="30"/>
  <c r="C716" i="30"/>
  <c r="C717" i="30"/>
  <c r="C718" i="30"/>
  <c r="C719" i="30"/>
  <c r="C720" i="30"/>
  <c r="C721" i="30"/>
  <c r="C722" i="30"/>
  <c r="C723" i="30"/>
  <c r="C724" i="30"/>
  <c r="C725" i="30"/>
  <c r="C726" i="30"/>
  <c r="C727" i="30"/>
  <c r="C728" i="30"/>
  <c r="C729" i="30"/>
  <c r="C730" i="30"/>
  <c r="C731" i="30"/>
  <c r="C732" i="30"/>
  <c r="C733" i="30"/>
  <c r="C734" i="30"/>
  <c r="C735" i="30"/>
  <c r="C736" i="30"/>
  <c r="C737" i="30"/>
  <c r="C738" i="30"/>
  <c r="C739" i="30"/>
  <c r="C740" i="30"/>
  <c r="C741" i="30"/>
  <c r="C742" i="30"/>
  <c r="C743" i="30"/>
  <c r="C744" i="30"/>
  <c r="C745" i="30"/>
  <c r="C746" i="30"/>
  <c r="C747" i="30"/>
  <c r="C748" i="30"/>
  <c r="C749" i="30"/>
  <c r="C750" i="30"/>
  <c r="C751" i="30"/>
  <c r="C752" i="30"/>
  <c r="C753" i="30"/>
  <c r="C754" i="30"/>
  <c r="C755" i="30"/>
  <c r="C756" i="30"/>
  <c r="C757" i="30"/>
  <c r="C758" i="30"/>
  <c r="C759" i="30"/>
  <c r="C760" i="30"/>
  <c r="C761" i="30"/>
  <c r="C762" i="30"/>
  <c r="C763" i="30"/>
  <c r="C764" i="30"/>
  <c r="C765" i="30"/>
  <c r="C766" i="30"/>
  <c r="C767" i="30"/>
  <c r="C768" i="30"/>
  <c r="C769" i="30"/>
  <c r="C770" i="30"/>
  <c r="C771" i="30"/>
  <c r="C772" i="30"/>
  <c r="C773" i="30"/>
  <c r="C774" i="30"/>
  <c r="C775" i="30"/>
  <c r="C776" i="30"/>
  <c r="C777" i="30"/>
  <c r="C778" i="30"/>
  <c r="C779" i="30"/>
  <c r="C780" i="30"/>
  <c r="C781" i="30"/>
  <c r="C782" i="30"/>
  <c r="C783" i="30"/>
  <c r="C784" i="30"/>
  <c r="C785" i="30"/>
  <c r="C786" i="30"/>
  <c r="C787" i="30"/>
  <c r="C788" i="30"/>
  <c r="C789" i="30"/>
  <c r="C790" i="30"/>
  <c r="C791" i="30"/>
  <c r="C792" i="30"/>
  <c r="C793" i="30"/>
  <c r="C794" i="30"/>
  <c r="C795" i="30"/>
  <c r="C796" i="30"/>
  <c r="C797" i="30"/>
  <c r="C798" i="30"/>
  <c r="C799" i="30"/>
  <c r="C800" i="30"/>
  <c r="C801" i="30"/>
  <c r="C802" i="30"/>
  <c r="C803" i="30"/>
  <c r="C804" i="30"/>
  <c r="C805" i="30"/>
  <c r="C806" i="30"/>
  <c r="C807" i="30"/>
  <c r="C808" i="30"/>
  <c r="C809" i="30"/>
  <c r="C810" i="30"/>
  <c r="C811" i="30"/>
  <c r="C812" i="30"/>
  <c r="C813" i="30"/>
  <c r="C814" i="30"/>
  <c r="C815" i="30"/>
  <c r="C816" i="30"/>
  <c r="C817" i="30"/>
  <c r="C818" i="30"/>
  <c r="C819" i="30"/>
  <c r="C820" i="30"/>
  <c r="C821" i="30"/>
  <c r="C822" i="30"/>
  <c r="C823" i="30"/>
  <c r="C824" i="30"/>
  <c r="C825" i="30"/>
  <c r="C826" i="30"/>
  <c r="C827" i="30"/>
  <c r="C828" i="30"/>
  <c r="C829" i="30"/>
  <c r="C830" i="30"/>
  <c r="C831" i="30"/>
  <c r="C832" i="30"/>
  <c r="C833" i="30"/>
  <c r="C834" i="30"/>
  <c r="C835" i="30"/>
  <c r="C836" i="30"/>
  <c r="C837" i="30"/>
  <c r="C838" i="30"/>
  <c r="C839" i="30"/>
  <c r="C840" i="30"/>
  <c r="C841" i="30"/>
  <c r="C842" i="30"/>
  <c r="C843" i="30"/>
  <c r="C844" i="30"/>
  <c r="C845" i="30"/>
  <c r="C846" i="30"/>
  <c r="C847" i="30"/>
  <c r="C848" i="30"/>
  <c r="C849" i="30"/>
  <c r="C850" i="30"/>
  <c r="C851" i="30"/>
  <c r="C852" i="30"/>
  <c r="C853" i="30"/>
  <c r="C854" i="30"/>
  <c r="C855" i="30"/>
  <c r="C856" i="30"/>
  <c r="C857" i="30"/>
  <c r="C858" i="30"/>
  <c r="C859" i="30"/>
  <c r="C860" i="30"/>
  <c r="C861" i="30"/>
  <c r="C862" i="30"/>
  <c r="C863" i="30"/>
  <c r="C864" i="30"/>
  <c r="C865" i="30"/>
  <c r="C866" i="30"/>
  <c r="C867" i="30"/>
  <c r="C868" i="30"/>
  <c r="C869" i="30"/>
  <c r="C870" i="30"/>
  <c r="C871" i="30"/>
  <c r="C872" i="30"/>
  <c r="C873" i="30"/>
  <c r="C874" i="30"/>
  <c r="C875" i="30"/>
  <c r="C876" i="30"/>
  <c r="C877" i="30"/>
  <c r="C878" i="30"/>
  <c r="C879" i="30"/>
  <c r="C880" i="30"/>
  <c r="C881" i="30"/>
  <c r="C882" i="30"/>
  <c r="C883" i="30"/>
  <c r="C884" i="30"/>
  <c r="C885" i="30"/>
  <c r="C886" i="30"/>
  <c r="C887" i="30"/>
  <c r="C888" i="30"/>
  <c r="C889" i="30"/>
  <c r="C890" i="30"/>
  <c r="C891" i="30"/>
  <c r="C892" i="30"/>
  <c r="C893" i="30"/>
  <c r="C894" i="30"/>
  <c r="C895" i="30"/>
  <c r="C896" i="30"/>
  <c r="C897" i="30"/>
  <c r="C898" i="30"/>
  <c r="C899" i="30"/>
  <c r="C900" i="30"/>
  <c r="C901" i="30"/>
  <c r="C902" i="30"/>
  <c r="C903" i="30"/>
  <c r="C904" i="30"/>
  <c r="C905" i="30"/>
  <c r="C906" i="30"/>
  <c r="C907" i="30"/>
  <c r="C908" i="30"/>
  <c r="C909" i="30"/>
  <c r="C910" i="30"/>
  <c r="C911" i="30"/>
  <c r="C912" i="30"/>
  <c r="C913" i="30"/>
  <c r="C914" i="30"/>
  <c r="C915" i="30"/>
  <c r="C916" i="30"/>
  <c r="C917" i="30"/>
  <c r="C918" i="30"/>
  <c r="C919" i="30"/>
  <c r="C920" i="30"/>
  <c r="C921" i="30"/>
  <c r="C922" i="30"/>
  <c r="C923" i="30"/>
  <c r="C924" i="30"/>
  <c r="C925" i="30"/>
  <c r="C926" i="30"/>
  <c r="C927" i="30"/>
  <c r="C928" i="30"/>
  <c r="C929" i="30"/>
  <c r="C930" i="30"/>
  <c r="C931" i="30"/>
  <c r="C932" i="30"/>
  <c r="C933" i="30"/>
  <c r="C934" i="30"/>
  <c r="C935" i="30"/>
  <c r="C936" i="30"/>
  <c r="C937" i="30"/>
  <c r="C938" i="30"/>
  <c r="C939" i="30"/>
  <c r="C940" i="30"/>
  <c r="C941" i="30"/>
  <c r="C942" i="30"/>
  <c r="C943" i="30"/>
  <c r="C944" i="30"/>
  <c r="C945" i="30"/>
  <c r="C946" i="30"/>
  <c r="C947" i="30"/>
  <c r="C948" i="30"/>
  <c r="C949" i="30"/>
  <c r="C950" i="30"/>
  <c r="C951" i="30"/>
  <c r="C952" i="30"/>
  <c r="C953" i="30"/>
  <c r="C954" i="30"/>
  <c r="C955" i="30"/>
  <c r="C956" i="30"/>
  <c r="C957" i="30"/>
  <c r="C958" i="30"/>
  <c r="C959" i="30"/>
  <c r="C960" i="30"/>
  <c r="C961" i="30"/>
  <c r="C962" i="30"/>
  <c r="C963" i="30"/>
  <c r="C964" i="30"/>
  <c r="C965" i="30"/>
  <c r="C966" i="30"/>
  <c r="C967" i="30"/>
  <c r="C968" i="30"/>
  <c r="C969" i="30"/>
  <c r="C970" i="30"/>
  <c r="C971" i="30"/>
  <c r="C972" i="30"/>
  <c r="C973" i="30"/>
  <c r="C974" i="30"/>
  <c r="C975" i="30"/>
  <c r="C976" i="30"/>
  <c r="C977" i="30"/>
  <c r="C978" i="30"/>
  <c r="C979" i="30"/>
  <c r="C980" i="30"/>
  <c r="C981" i="30"/>
  <c r="C982" i="30"/>
  <c r="C983" i="30"/>
  <c r="C984" i="30"/>
  <c r="C985" i="30"/>
  <c r="C986" i="30"/>
  <c r="C987" i="30"/>
  <c r="C988" i="30"/>
  <c r="C989" i="30"/>
  <c r="C990" i="30"/>
  <c r="C991" i="30"/>
  <c r="C992" i="30"/>
  <c r="C993" i="30"/>
  <c r="C994" i="30"/>
  <c r="C995" i="30"/>
  <c r="C996" i="30"/>
  <c r="C997" i="30"/>
  <c r="C998" i="30"/>
  <c r="C999" i="30"/>
  <c r="C1000" i="30"/>
  <c r="C1001" i="30"/>
  <c r="C1002" i="30"/>
  <c r="C1003" i="30"/>
  <c r="C1004" i="30"/>
  <c r="C1005" i="30"/>
  <c r="C1006" i="30"/>
  <c r="C1007" i="30"/>
  <c r="C1008" i="30"/>
  <c r="C1009" i="30"/>
  <c r="C1010" i="30"/>
  <c r="C1011" i="30"/>
  <c r="C1012" i="30"/>
  <c r="C1013" i="30"/>
  <c r="C1014" i="30"/>
  <c r="C1015" i="30"/>
  <c r="C1016" i="30"/>
  <c r="C1017" i="30"/>
  <c r="C1018" i="30"/>
  <c r="C1019" i="30"/>
  <c r="C1020" i="30"/>
  <c r="C1021" i="30"/>
  <c r="C1022" i="30"/>
  <c r="C1023" i="30"/>
  <c r="C1024" i="30"/>
  <c r="C1025" i="30"/>
  <c r="C1026" i="30"/>
  <c r="C1027" i="30"/>
  <c r="C1028" i="30"/>
  <c r="C1029" i="30"/>
  <c r="C1030" i="30"/>
  <c r="C1031" i="30"/>
  <c r="C1032" i="30"/>
  <c r="C1033" i="30"/>
  <c r="C1034" i="30"/>
  <c r="C1035" i="30"/>
  <c r="C1036" i="30"/>
  <c r="C1037" i="30"/>
  <c r="C1038" i="30"/>
  <c r="C1039" i="30"/>
  <c r="C1040" i="30"/>
  <c r="C1041" i="30"/>
  <c r="C1042" i="30"/>
  <c r="C1043" i="30"/>
  <c r="C1044" i="30"/>
  <c r="C1045" i="30"/>
  <c r="C1046" i="30"/>
  <c r="C1047" i="30"/>
  <c r="C1048" i="30"/>
  <c r="C1049" i="30"/>
  <c r="C1050" i="30"/>
  <c r="C1051" i="30"/>
  <c r="C1052" i="30"/>
  <c r="C1053" i="30"/>
  <c r="C1054" i="30"/>
  <c r="C1055" i="30"/>
  <c r="C1056" i="30"/>
  <c r="C1057" i="30"/>
  <c r="C1058" i="30"/>
  <c r="C1059" i="30"/>
  <c r="C1060" i="30"/>
  <c r="C1061" i="30"/>
  <c r="C1062" i="30"/>
  <c r="C1063" i="30"/>
  <c r="C1064" i="30"/>
  <c r="C1065" i="30"/>
  <c r="C1066" i="30"/>
  <c r="C1067" i="30"/>
  <c r="C1068" i="30"/>
  <c r="C1069" i="30"/>
  <c r="C1070" i="30"/>
  <c r="C1071" i="30"/>
  <c r="C1072" i="30"/>
  <c r="C1073" i="30"/>
  <c r="C1074" i="30"/>
  <c r="C1075" i="30"/>
  <c r="C1076" i="30"/>
  <c r="C1077" i="30"/>
  <c r="C1078" i="30"/>
  <c r="C1079" i="30"/>
  <c r="C1080" i="30"/>
  <c r="C1081" i="30"/>
  <c r="C1082" i="30"/>
  <c r="C1083" i="30"/>
  <c r="C1084" i="30"/>
  <c r="C1085" i="30"/>
  <c r="C1086" i="30"/>
  <c r="C1087" i="30"/>
  <c r="C1088" i="30"/>
  <c r="C1089" i="30"/>
  <c r="C1090" i="30"/>
  <c r="C1091" i="30"/>
  <c r="C1092" i="30"/>
  <c r="C1093" i="30"/>
  <c r="C1094" i="30"/>
  <c r="C1095" i="30"/>
  <c r="C1096" i="30"/>
  <c r="C1097" i="30"/>
  <c r="C1098" i="30"/>
  <c r="C1099" i="30"/>
  <c r="C1100" i="30"/>
  <c r="C1101" i="30"/>
  <c r="C1102" i="30"/>
  <c r="C1103" i="30"/>
  <c r="C1104" i="30"/>
  <c r="C1105" i="30"/>
  <c r="C1106" i="30"/>
  <c r="C1107" i="30"/>
  <c r="C1108" i="30"/>
  <c r="C1109" i="30"/>
  <c r="C1110" i="30"/>
  <c r="C1111" i="30"/>
  <c r="C1112" i="30"/>
  <c r="C1113" i="30"/>
  <c r="C1114" i="30"/>
  <c r="C1115" i="30"/>
  <c r="C1116" i="30"/>
  <c r="C1117" i="30"/>
  <c r="C1118" i="30"/>
  <c r="C1119" i="30"/>
  <c r="C1120" i="30"/>
  <c r="C1121" i="30"/>
  <c r="C1122" i="30"/>
  <c r="C1123" i="30"/>
  <c r="C1124" i="30"/>
  <c r="C1125" i="30"/>
  <c r="C1126" i="30"/>
  <c r="C1127" i="30"/>
  <c r="C1128" i="30"/>
  <c r="C1129" i="30"/>
  <c r="C1130" i="30"/>
  <c r="C1131" i="30"/>
  <c r="C1132" i="30"/>
  <c r="C1133" i="30"/>
  <c r="C1134" i="30"/>
  <c r="C1135" i="30"/>
  <c r="C1136" i="30"/>
  <c r="C1137" i="30"/>
  <c r="C1138" i="30"/>
  <c r="C1139" i="30"/>
  <c r="C1140" i="30"/>
  <c r="C1141" i="30"/>
  <c r="C1142" i="30"/>
  <c r="C1143" i="30"/>
  <c r="C1144" i="30"/>
  <c r="C1145" i="30"/>
  <c r="C1146" i="30"/>
  <c r="C1147" i="30"/>
  <c r="C1148" i="30"/>
  <c r="C1149" i="30"/>
  <c r="C1150" i="30"/>
  <c r="C1151" i="30"/>
  <c r="C1152" i="30"/>
  <c r="C1153" i="30"/>
  <c r="C1154" i="30"/>
  <c r="C1155" i="30"/>
  <c r="C1156" i="30"/>
  <c r="C1157" i="30"/>
  <c r="C1158" i="30"/>
  <c r="C1159" i="30"/>
  <c r="C1160" i="30"/>
  <c r="C1161" i="30"/>
  <c r="C1162" i="30"/>
  <c r="C1163" i="30"/>
  <c r="C1164" i="30"/>
  <c r="C1165" i="30"/>
  <c r="C1166" i="30"/>
  <c r="C1167" i="30"/>
  <c r="C1168" i="30"/>
  <c r="C1169" i="30"/>
  <c r="C1170" i="30"/>
  <c r="C1171" i="30"/>
  <c r="C1172" i="30"/>
  <c r="C1173" i="30"/>
  <c r="C1174" i="30"/>
  <c r="C1175" i="30"/>
  <c r="C1176" i="30"/>
  <c r="C1177" i="30"/>
  <c r="C1178" i="30"/>
  <c r="C1179" i="30"/>
  <c r="C1180" i="30"/>
  <c r="C1181" i="30"/>
  <c r="C1182" i="30"/>
  <c r="C1183" i="30"/>
  <c r="C1184" i="30"/>
  <c r="C1185" i="30"/>
  <c r="C1186" i="30"/>
  <c r="C1187" i="30"/>
  <c r="C1188" i="30"/>
  <c r="C1189" i="30"/>
  <c r="C1190" i="30"/>
  <c r="C1191" i="30"/>
  <c r="C1192" i="30"/>
  <c r="C1193" i="30"/>
  <c r="C1194" i="30"/>
  <c r="C1195" i="30"/>
  <c r="C1196" i="30"/>
  <c r="C1197" i="30"/>
  <c r="C1198" i="30"/>
  <c r="C1199" i="30"/>
  <c r="C1200" i="30"/>
  <c r="C1201" i="30"/>
  <c r="C1202" i="30"/>
  <c r="C1203" i="30"/>
  <c r="C1204" i="30"/>
  <c r="C1205" i="30"/>
  <c r="C1206" i="30"/>
  <c r="C1207" i="30"/>
  <c r="C1208" i="30"/>
  <c r="C1209" i="30"/>
  <c r="C1210" i="30"/>
  <c r="C1211" i="30"/>
  <c r="C1212" i="30"/>
  <c r="C1213" i="30"/>
  <c r="C1214" i="30"/>
  <c r="C1215" i="30"/>
  <c r="C1216" i="30"/>
  <c r="C1217" i="30"/>
  <c r="C1218" i="30"/>
  <c r="C1219" i="30"/>
  <c r="C1220" i="30"/>
  <c r="C1221" i="30"/>
  <c r="C1222" i="30"/>
  <c r="C1223" i="30"/>
  <c r="C1224" i="30"/>
  <c r="C1225" i="30"/>
  <c r="C1226" i="30"/>
  <c r="C1227" i="30"/>
  <c r="C1228" i="30"/>
  <c r="C1229" i="30"/>
  <c r="C1230" i="30"/>
  <c r="C1231" i="30"/>
  <c r="C1232" i="30"/>
  <c r="C1233" i="30"/>
  <c r="C1234" i="30"/>
  <c r="C1235" i="30"/>
  <c r="C1236" i="30"/>
  <c r="C1237" i="30"/>
  <c r="C1238" i="30"/>
  <c r="C1239" i="30"/>
  <c r="C1240" i="30"/>
  <c r="C1241" i="30"/>
  <c r="C1242" i="30"/>
  <c r="C1243" i="30"/>
  <c r="C1244" i="30"/>
  <c r="C1245" i="30"/>
  <c r="C1246" i="30"/>
  <c r="C1247" i="30"/>
  <c r="C1248" i="30"/>
  <c r="C1249" i="30"/>
  <c r="C1250" i="30"/>
  <c r="C1251" i="30"/>
  <c r="C1252" i="30"/>
  <c r="C1253" i="30"/>
  <c r="C1254" i="30"/>
  <c r="C1255" i="30"/>
  <c r="C1256" i="30"/>
  <c r="C1257" i="30"/>
  <c r="C1258" i="30"/>
  <c r="C1259" i="30"/>
  <c r="C1260" i="30"/>
  <c r="C1261" i="30"/>
  <c r="C1262" i="30"/>
  <c r="C1263" i="30"/>
  <c r="C1264" i="30"/>
  <c r="C1265" i="30"/>
  <c r="C1266" i="30"/>
  <c r="C1267" i="30"/>
  <c r="C1268" i="30"/>
  <c r="C1269" i="30"/>
  <c r="C1270" i="30"/>
  <c r="C1271" i="30"/>
  <c r="C1272" i="30"/>
  <c r="C1273" i="30"/>
  <c r="C1274" i="30"/>
  <c r="C1275" i="30"/>
  <c r="C1276" i="30"/>
  <c r="C1277" i="30"/>
  <c r="C1278" i="30"/>
  <c r="C1279" i="30"/>
  <c r="C1280" i="30"/>
  <c r="C1281" i="30"/>
  <c r="C1282" i="30"/>
  <c r="C1283" i="30"/>
  <c r="C1284" i="30"/>
  <c r="C1285" i="30"/>
  <c r="C1286" i="30"/>
  <c r="C1287" i="30"/>
  <c r="C1288" i="30"/>
  <c r="C1289" i="30"/>
  <c r="C1290" i="30"/>
  <c r="C1291" i="30"/>
  <c r="C1292" i="30"/>
  <c r="C1293" i="30"/>
  <c r="C1294" i="30"/>
  <c r="C1295" i="30"/>
  <c r="C1296" i="30"/>
  <c r="C1297" i="30"/>
  <c r="C1298" i="30"/>
  <c r="C1299" i="30"/>
  <c r="C1300" i="30"/>
  <c r="C1301" i="30"/>
  <c r="C1302" i="30"/>
  <c r="C1303" i="30"/>
  <c r="C1304" i="30"/>
  <c r="C1305" i="30"/>
  <c r="C1306" i="30"/>
  <c r="C1307" i="30"/>
  <c r="C1308" i="30"/>
  <c r="C1309" i="30"/>
  <c r="C1310" i="30"/>
  <c r="C1311" i="30"/>
  <c r="C1312" i="30"/>
  <c r="C1313" i="30"/>
  <c r="C1314" i="30"/>
  <c r="C1315" i="30"/>
  <c r="C1316" i="30"/>
  <c r="C1317" i="30"/>
  <c r="C1318" i="30"/>
  <c r="C1319" i="30"/>
  <c r="C1320" i="30"/>
  <c r="C1321" i="30"/>
  <c r="C1322" i="30"/>
  <c r="C1323" i="30"/>
  <c r="C1324" i="30"/>
  <c r="C1325" i="30"/>
  <c r="C1326" i="30"/>
  <c r="C1327" i="30"/>
  <c r="C1328" i="30"/>
  <c r="C1329" i="30"/>
  <c r="C1330" i="30"/>
  <c r="C1331" i="30"/>
  <c r="C1332" i="30"/>
  <c r="C1333" i="30"/>
  <c r="C1334" i="30"/>
  <c r="C1335" i="30"/>
  <c r="C1336" i="30"/>
  <c r="C1337" i="30"/>
  <c r="C1338" i="30"/>
  <c r="C1339" i="30"/>
  <c r="C1340" i="30"/>
  <c r="C1341" i="30"/>
  <c r="C1342" i="30"/>
  <c r="C1343" i="30"/>
  <c r="C1344" i="30"/>
  <c r="C1345" i="30"/>
  <c r="C1346" i="30"/>
  <c r="C1347" i="30"/>
  <c r="C1348" i="30"/>
  <c r="C1349" i="30"/>
  <c r="C1350" i="30"/>
  <c r="C1351" i="30"/>
  <c r="C1352" i="30"/>
  <c r="C1353" i="30"/>
  <c r="C1354" i="30"/>
  <c r="C1355" i="30"/>
  <c r="C1356" i="30"/>
  <c r="C1357" i="30"/>
  <c r="C1358" i="30"/>
  <c r="C1359" i="30"/>
  <c r="C1360" i="30"/>
  <c r="C1361" i="30"/>
  <c r="C1362" i="30"/>
  <c r="C1363" i="30"/>
  <c r="C1364" i="30"/>
  <c r="C1365" i="30"/>
  <c r="C1366" i="30"/>
  <c r="C1367" i="30"/>
  <c r="C1368" i="30"/>
  <c r="C1369" i="30"/>
  <c r="C1370" i="30"/>
  <c r="C1371" i="30"/>
  <c r="C1372" i="30"/>
  <c r="C1373" i="30"/>
  <c r="C1374" i="30"/>
  <c r="C1375" i="30"/>
  <c r="C1376" i="30"/>
  <c r="C1377" i="30"/>
  <c r="C1378" i="30"/>
  <c r="C1379" i="30"/>
  <c r="C1380" i="30"/>
  <c r="C1381" i="30"/>
  <c r="C1382" i="30"/>
  <c r="C1383" i="30"/>
  <c r="C1384" i="30"/>
  <c r="C1385" i="30"/>
  <c r="C1386" i="30"/>
  <c r="C1387" i="30"/>
  <c r="C1388" i="30"/>
  <c r="C1389" i="30"/>
  <c r="C1390" i="30"/>
  <c r="C1391" i="30"/>
  <c r="C1392" i="30"/>
  <c r="C1393" i="30"/>
  <c r="C1394" i="30"/>
  <c r="C1395" i="30"/>
  <c r="C1396" i="30"/>
  <c r="C1397" i="30"/>
  <c r="C1398" i="30"/>
  <c r="C1399" i="30"/>
  <c r="C1400" i="30"/>
  <c r="C1401" i="30"/>
  <c r="C1402" i="30"/>
  <c r="C1403" i="30"/>
  <c r="C1404" i="30"/>
  <c r="C1405" i="30"/>
  <c r="C1406" i="30"/>
  <c r="C1407" i="30"/>
  <c r="C1408" i="30"/>
  <c r="C1409" i="30"/>
  <c r="C1410" i="30"/>
  <c r="C1411" i="30"/>
  <c r="C1412" i="30"/>
  <c r="C1413" i="30"/>
  <c r="C1414" i="30"/>
  <c r="C1415" i="30"/>
  <c r="C1416" i="30"/>
  <c r="C1417" i="30"/>
  <c r="C1418" i="30"/>
  <c r="C1419" i="30"/>
  <c r="C1420" i="30"/>
  <c r="C1421" i="30"/>
  <c r="C1422" i="30"/>
  <c r="C1423" i="30"/>
  <c r="C1424" i="30"/>
  <c r="C1425" i="30"/>
  <c r="C1426" i="30"/>
  <c r="C1427" i="30"/>
  <c r="C1428" i="30"/>
  <c r="C1429" i="30"/>
  <c r="C1430" i="30"/>
  <c r="C1431" i="30"/>
  <c r="C1432" i="30"/>
  <c r="C1433" i="30"/>
  <c r="C1434" i="30"/>
  <c r="C1435" i="30"/>
  <c r="C1436" i="30"/>
  <c r="C1437" i="30"/>
  <c r="C1438" i="30"/>
  <c r="C1439" i="30"/>
  <c r="C1440" i="30"/>
  <c r="C1441" i="30"/>
  <c r="C1442" i="30"/>
  <c r="C1443" i="30"/>
  <c r="C1444" i="30"/>
  <c r="C1445" i="30"/>
  <c r="C1446" i="30"/>
  <c r="C1447" i="30"/>
  <c r="C1448" i="30"/>
  <c r="C1449" i="30"/>
  <c r="C1450" i="30"/>
  <c r="C1451" i="30"/>
  <c r="C1452" i="30"/>
  <c r="C1453" i="30"/>
  <c r="C1454" i="30"/>
  <c r="C1455" i="30"/>
  <c r="C1456" i="30"/>
  <c r="C1457" i="30"/>
  <c r="C1458" i="30"/>
  <c r="C1459" i="30"/>
  <c r="C1460" i="30"/>
  <c r="C1461" i="30"/>
  <c r="C1462" i="30"/>
  <c r="C1463" i="30"/>
  <c r="C1464" i="30"/>
  <c r="C1465" i="30"/>
  <c r="C1466" i="30"/>
  <c r="C1467" i="30"/>
  <c r="C1468" i="30"/>
  <c r="C1469" i="30"/>
  <c r="C1470" i="30"/>
  <c r="C1471" i="30"/>
  <c r="C1472" i="30"/>
  <c r="C1473" i="30"/>
  <c r="C1474" i="30"/>
  <c r="C1475" i="30"/>
  <c r="C1476" i="30"/>
  <c r="C1477" i="30"/>
  <c r="C1478" i="30"/>
  <c r="C1479" i="30"/>
  <c r="C1480" i="30"/>
  <c r="C1481" i="30"/>
  <c r="C1482" i="30"/>
  <c r="C1483" i="30"/>
  <c r="C1484" i="30"/>
  <c r="C1485" i="30"/>
  <c r="C1486" i="30"/>
  <c r="C1487" i="30"/>
  <c r="C1488" i="30"/>
  <c r="C1489" i="30"/>
  <c r="C1490" i="30"/>
  <c r="C1491" i="30"/>
  <c r="C1492" i="30"/>
  <c r="C1493" i="30"/>
  <c r="C1494" i="30"/>
  <c r="C1495" i="30"/>
  <c r="C1496" i="30"/>
  <c r="C1497" i="30"/>
  <c r="C1498" i="30"/>
  <c r="C1499" i="30"/>
  <c r="C1500" i="30"/>
  <c r="C1501" i="30"/>
  <c r="C1502" i="30"/>
  <c r="C1503" i="30"/>
  <c r="C1504" i="30"/>
  <c r="C1505" i="30"/>
  <c r="C1506" i="30"/>
  <c r="C1507" i="30"/>
  <c r="C1508" i="30"/>
  <c r="C1509" i="30"/>
  <c r="C1510" i="30"/>
  <c r="C1511" i="30"/>
  <c r="C1512" i="30"/>
  <c r="C1513" i="30"/>
  <c r="C1514" i="30"/>
  <c r="C1515" i="30"/>
  <c r="C1516" i="30"/>
  <c r="C1517" i="30"/>
  <c r="C1518" i="30"/>
  <c r="C1519" i="30"/>
  <c r="C1520" i="30"/>
  <c r="C1521" i="30"/>
  <c r="C1522" i="30"/>
  <c r="C1523" i="30"/>
  <c r="C1524" i="30"/>
  <c r="C1525" i="30"/>
  <c r="C1526" i="30"/>
  <c r="C1527" i="30"/>
  <c r="C1528" i="30"/>
  <c r="C1529" i="30"/>
  <c r="C1530" i="30"/>
  <c r="C1531" i="30"/>
  <c r="C1532" i="30"/>
  <c r="C1533" i="30"/>
  <c r="C1534" i="30"/>
  <c r="C1535" i="30"/>
  <c r="C1536" i="30"/>
  <c r="C1537" i="30"/>
  <c r="C1538" i="30"/>
  <c r="C1539" i="30"/>
  <c r="C1540" i="30"/>
  <c r="C1541" i="30"/>
  <c r="C1542" i="30"/>
  <c r="C1543" i="30"/>
  <c r="C1544" i="30"/>
  <c r="C1545" i="30"/>
  <c r="C1546" i="30"/>
  <c r="C1547" i="30"/>
  <c r="C1548" i="30"/>
  <c r="C1549" i="30"/>
  <c r="C1550" i="30"/>
  <c r="C1551" i="30"/>
  <c r="C1552" i="30"/>
  <c r="C1553" i="30"/>
  <c r="C1554" i="30"/>
  <c r="C1555" i="30"/>
  <c r="C1556" i="30"/>
  <c r="C1557" i="30"/>
  <c r="C1558" i="30"/>
  <c r="C1559" i="30"/>
  <c r="C1560" i="30"/>
  <c r="C1561" i="30"/>
  <c r="C1562" i="30"/>
  <c r="C1563" i="30"/>
  <c r="C1564" i="30"/>
  <c r="C1565" i="30"/>
  <c r="C1566" i="30"/>
  <c r="C1567" i="30"/>
  <c r="C1568" i="30"/>
  <c r="C1569" i="30"/>
  <c r="C1570" i="30"/>
  <c r="C1571" i="30"/>
  <c r="C1572" i="30"/>
  <c r="C1573" i="30"/>
  <c r="C1574" i="30"/>
  <c r="C1575" i="30"/>
  <c r="C1576" i="30"/>
  <c r="C1577" i="30"/>
  <c r="C1578" i="30"/>
  <c r="C1579" i="30"/>
  <c r="C1580" i="30"/>
  <c r="C1581" i="30"/>
  <c r="C1582" i="30"/>
  <c r="C1583" i="30"/>
  <c r="C1584" i="30"/>
  <c r="C1585" i="30"/>
  <c r="C1586" i="30"/>
  <c r="C1587" i="30"/>
  <c r="C1588" i="30"/>
  <c r="C1589" i="30"/>
  <c r="C1590" i="30"/>
  <c r="C1591" i="30"/>
  <c r="C1592" i="30"/>
  <c r="C1593" i="30"/>
  <c r="C1594" i="30"/>
  <c r="C1595" i="30"/>
  <c r="C1596" i="30"/>
  <c r="C1597" i="30"/>
  <c r="C1598" i="30"/>
  <c r="C1599" i="30"/>
  <c r="C1600" i="30"/>
  <c r="C1601" i="30"/>
  <c r="C1602" i="30"/>
  <c r="C1603" i="30"/>
  <c r="C1604" i="30"/>
  <c r="C1605" i="30"/>
  <c r="C1606" i="30"/>
  <c r="C1607" i="30"/>
  <c r="C1608" i="30"/>
  <c r="C1609" i="30"/>
  <c r="C1610" i="30"/>
  <c r="C1611" i="30"/>
  <c r="C1612" i="30"/>
  <c r="C1613" i="30"/>
  <c r="C1614" i="30"/>
  <c r="C1615" i="30"/>
  <c r="C1616" i="30"/>
  <c r="C1617" i="30"/>
  <c r="C1618" i="30"/>
  <c r="C1619" i="30"/>
  <c r="C1620" i="30"/>
  <c r="C1621" i="30"/>
  <c r="C1622" i="30"/>
  <c r="C1623" i="30"/>
  <c r="C1624" i="30"/>
  <c r="C1625" i="30"/>
  <c r="C1626" i="30"/>
  <c r="C1627" i="30"/>
  <c r="C1628" i="30"/>
  <c r="C1629" i="30"/>
  <c r="C1630" i="30"/>
  <c r="C1631" i="30"/>
  <c r="C1632" i="30"/>
  <c r="C1633" i="30"/>
  <c r="C1634" i="30"/>
  <c r="C1635" i="30"/>
  <c r="C1636" i="30"/>
  <c r="C1637" i="30"/>
  <c r="C1638" i="30"/>
  <c r="C1639" i="30"/>
  <c r="C1640" i="30"/>
  <c r="C1641" i="30"/>
  <c r="C1642" i="30"/>
  <c r="C1643" i="30"/>
  <c r="C1644" i="30"/>
  <c r="C1645" i="30"/>
  <c r="C1646" i="30"/>
  <c r="C1647" i="30"/>
  <c r="C1648" i="30"/>
  <c r="C1649" i="30"/>
  <c r="C1650" i="30"/>
  <c r="C1651" i="30"/>
  <c r="C1652" i="30"/>
  <c r="C1653" i="30"/>
  <c r="C1654" i="30"/>
  <c r="C1655" i="30"/>
  <c r="C1656" i="30"/>
  <c r="C1657" i="30"/>
  <c r="C1658" i="30"/>
  <c r="C1659" i="30"/>
  <c r="C1660" i="30"/>
  <c r="C1661" i="30"/>
  <c r="C1662" i="30"/>
  <c r="C1663" i="30"/>
  <c r="C1664" i="30"/>
  <c r="C1665" i="30"/>
  <c r="C1666" i="30"/>
  <c r="C1667" i="30"/>
  <c r="C1668" i="30"/>
  <c r="C1669" i="30"/>
  <c r="C1670" i="30"/>
  <c r="C1671" i="30"/>
  <c r="C1672" i="30"/>
  <c r="C1673" i="30"/>
  <c r="C1674" i="30"/>
  <c r="C1675" i="30"/>
  <c r="C1676" i="30"/>
  <c r="C1677" i="30"/>
  <c r="C1678" i="30"/>
  <c r="C1679" i="30"/>
  <c r="C1680" i="30"/>
  <c r="C1681" i="30"/>
  <c r="C1682" i="30"/>
  <c r="C1683" i="30"/>
  <c r="C1684" i="30"/>
  <c r="C1685" i="30"/>
  <c r="C1686" i="30"/>
  <c r="C1687" i="30"/>
  <c r="C1688" i="30"/>
  <c r="C1689" i="30"/>
  <c r="C1690" i="30"/>
  <c r="C1691" i="30"/>
  <c r="C1692" i="30"/>
  <c r="C1693" i="30"/>
  <c r="C1694" i="30"/>
  <c r="C1695" i="30"/>
  <c r="C1696" i="30"/>
  <c r="C1697" i="30"/>
  <c r="C1698" i="30"/>
  <c r="C1699" i="30"/>
  <c r="C1700" i="30"/>
  <c r="C1701" i="30"/>
  <c r="C1702" i="30"/>
  <c r="C1703" i="30"/>
  <c r="C1704" i="30"/>
  <c r="C1705" i="30"/>
  <c r="C1706" i="30"/>
  <c r="C1707" i="30"/>
  <c r="C1708" i="30"/>
  <c r="C1709" i="30"/>
  <c r="C1710" i="30"/>
  <c r="C1711" i="30"/>
  <c r="C1712" i="30"/>
  <c r="C1713" i="30"/>
  <c r="C1714" i="30"/>
  <c r="C1715" i="30"/>
  <c r="C1716" i="30"/>
  <c r="C1717" i="30"/>
  <c r="C1718" i="30"/>
  <c r="C1719" i="30"/>
  <c r="C1720" i="30"/>
  <c r="C1721" i="30"/>
  <c r="C1722" i="30"/>
  <c r="C1723" i="30"/>
  <c r="C1724" i="30"/>
  <c r="C1725" i="30"/>
  <c r="C1726" i="30"/>
  <c r="C1727" i="30"/>
  <c r="C1728" i="30"/>
  <c r="C1729" i="30"/>
  <c r="C1730" i="30"/>
  <c r="C1731" i="30"/>
  <c r="C1732" i="30"/>
  <c r="C1733" i="30"/>
  <c r="C1734" i="30"/>
  <c r="C1735" i="30"/>
  <c r="C1736" i="30"/>
  <c r="C1737" i="30"/>
  <c r="C1738" i="30"/>
  <c r="C1739" i="30"/>
  <c r="C1740" i="30"/>
  <c r="C1741" i="30"/>
  <c r="C1742" i="30"/>
  <c r="C1743" i="30"/>
  <c r="C1744" i="30"/>
  <c r="C1745" i="30"/>
  <c r="C1746" i="30"/>
  <c r="C1747" i="30"/>
  <c r="C1748" i="30"/>
  <c r="C1749" i="30"/>
  <c r="C1750" i="30"/>
  <c r="C1751" i="30"/>
  <c r="C1752" i="30"/>
  <c r="C1753" i="30"/>
  <c r="C1754" i="30"/>
  <c r="C1755" i="30"/>
  <c r="C1756" i="30"/>
  <c r="C1757" i="30"/>
  <c r="C1758" i="30"/>
  <c r="C1759" i="30"/>
  <c r="C1760" i="30"/>
  <c r="C1761" i="30"/>
  <c r="C1762" i="30"/>
  <c r="C1763" i="30"/>
  <c r="C1764" i="30"/>
  <c r="C1765" i="30"/>
  <c r="C1766" i="30"/>
  <c r="C1767" i="30"/>
  <c r="C1768" i="30"/>
  <c r="C1769" i="30"/>
  <c r="C1770" i="30"/>
  <c r="C1771" i="30"/>
  <c r="C1772" i="30"/>
  <c r="C1773" i="30"/>
  <c r="C1774" i="30"/>
  <c r="C1775" i="30"/>
  <c r="C1776" i="30"/>
  <c r="C1777" i="30"/>
  <c r="C1778" i="30"/>
  <c r="C1779" i="30"/>
  <c r="C1780" i="30"/>
  <c r="C1781" i="30"/>
  <c r="C1782" i="30"/>
  <c r="C1783" i="30"/>
  <c r="C1784" i="30"/>
  <c r="C1785" i="30"/>
  <c r="C1786" i="30"/>
  <c r="C1787" i="30"/>
  <c r="C1788" i="30"/>
  <c r="C1789" i="30"/>
  <c r="C1790" i="30"/>
  <c r="C1791" i="30"/>
  <c r="C1792" i="30"/>
  <c r="C1793" i="30"/>
  <c r="C1794" i="30"/>
  <c r="C1795" i="30"/>
  <c r="C1796" i="30"/>
  <c r="C1797" i="30"/>
  <c r="C1798" i="30"/>
  <c r="C1799" i="30"/>
  <c r="C1800" i="30"/>
  <c r="C1801" i="30"/>
  <c r="C1802" i="30"/>
  <c r="C22" i="30"/>
  <c r="C23" i="30"/>
  <c r="C24" i="30"/>
  <c r="C25" i="30"/>
  <c r="C26" i="30"/>
  <c r="C27" i="30"/>
  <c r="C28" i="30"/>
  <c r="C29" i="30"/>
  <c r="C30" i="30"/>
  <c r="C31" i="30"/>
  <c r="C5" i="30"/>
  <c r="C6" i="30"/>
  <c r="C7" i="30"/>
  <c r="C8" i="30"/>
  <c r="C9" i="30"/>
  <c r="C10" i="30"/>
  <c r="C11" i="30"/>
  <c r="C12" i="30"/>
  <c r="C13" i="30"/>
  <c r="C14" i="30"/>
  <c r="C15" i="30"/>
  <c r="C16" i="30"/>
  <c r="C17" i="30"/>
  <c r="C18" i="30"/>
  <c r="C19" i="30"/>
  <c r="C20" i="30"/>
  <c r="C21" i="30"/>
  <c r="C2" i="30"/>
  <c r="D9" i="4" l="1"/>
  <c r="D8" i="4"/>
  <c r="D7" i="4"/>
  <c r="D6" i="4"/>
  <c r="D5" i="4"/>
  <c r="D4" i="4"/>
  <c r="D3" i="4"/>
  <c r="D2" i="4"/>
  <c r="C9" i="4"/>
  <c r="C8" i="4"/>
  <c r="C7" i="4"/>
  <c r="C6" i="4"/>
  <c r="C5" i="4"/>
  <c r="C4" i="4"/>
  <c r="C3" i="4"/>
  <c r="C2" i="4"/>
  <c r="B2" i="4"/>
  <c r="B3" i="4"/>
  <c r="B4" i="4"/>
  <c r="B5" i="4"/>
  <c r="B6" i="4"/>
  <c r="B7" i="4"/>
  <c r="B8" i="4"/>
  <c r="B9" i="4"/>
  <c r="K63" i="1" l="1"/>
  <c r="I63" i="1"/>
  <c r="J26" i="1" l="1"/>
  <c r="J25" i="1" l="1"/>
  <c r="P48" i="1"/>
  <c r="J31" i="1"/>
  <c r="G25" i="1"/>
  <c r="G26" i="1"/>
  <c r="N5" i="1"/>
  <c r="N8" i="1"/>
  <c r="N10" i="1"/>
  <c r="K41" i="1"/>
  <c r="K46" i="1"/>
  <c r="K42" i="1"/>
  <c r="E7" i="1"/>
  <c r="F7" i="1"/>
  <c r="E10" i="1"/>
  <c r="F10" i="1"/>
  <c r="E8" i="1"/>
  <c r="F8" i="1"/>
  <c r="F33" i="1"/>
  <c r="F12" i="1"/>
  <c r="H19" i="1"/>
  <c r="G19" i="1"/>
  <c r="J19" i="1"/>
  <c r="F19" i="1"/>
  <c r="E19" i="1"/>
  <c r="J16" i="1"/>
  <c r="J18" i="1"/>
  <c r="G18" i="1"/>
  <c r="F18" i="1"/>
  <c r="I7" i="1"/>
  <c r="G7" i="1"/>
  <c r="G10" i="1"/>
  <c r="E26" i="1"/>
  <c r="G34" i="1"/>
  <c r="H34" i="1"/>
  <c r="I34" i="1"/>
  <c r="D5" i="1"/>
  <c r="E5" i="1"/>
  <c r="F5" i="1"/>
  <c r="G5" i="1"/>
  <c r="H5" i="1"/>
  <c r="I5" i="1"/>
  <c r="J5" i="1"/>
  <c r="K5" i="1"/>
  <c r="L5" i="1"/>
  <c r="M5" i="1"/>
  <c r="G6" i="1"/>
  <c r="H6" i="1"/>
  <c r="I6" i="1"/>
  <c r="H7" i="1"/>
  <c r="J7" i="1"/>
  <c r="K7" i="1"/>
  <c r="L7" i="1"/>
  <c r="M7" i="1"/>
  <c r="N7" i="1"/>
  <c r="G8" i="1"/>
  <c r="H8" i="1"/>
  <c r="I8" i="1"/>
  <c r="J8" i="1"/>
  <c r="K8" i="1"/>
  <c r="L8" i="1"/>
  <c r="M8" i="1"/>
  <c r="E9" i="1"/>
  <c r="G9" i="1"/>
  <c r="H9" i="1"/>
  <c r="I9" i="1"/>
  <c r="J9" i="1"/>
  <c r="H10" i="1"/>
  <c r="I10" i="1"/>
  <c r="J10" i="1"/>
  <c r="K10" i="1"/>
  <c r="L10" i="1"/>
  <c r="M10" i="1"/>
  <c r="I11" i="1"/>
  <c r="E12" i="1"/>
  <c r="G12" i="1"/>
  <c r="H12" i="1"/>
  <c r="I12" i="1"/>
  <c r="J12" i="1"/>
  <c r="K12" i="1"/>
  <c r="L12" i="1"/>
  <c r="M12" i="1"/>
  <c r="N12" i="1"/>
  <c r="G13" i="1"/>
  <c r="H13" i="1"/>
  <c r="I13" i="1"/>
  <c r="E14" i="1"/>
  <c r="F14" i="1"/>
  <c r="G14" i="1"/>
  <c r="H14" i="1"/>
  <c r="I14" i="1"/>
  <c r="J14" i="1"/>
  <c r="K14" i="1"/>
  <c r="L14" i="1"/>
  <c r="M14" i="1"/>
  <c r="N14" i="1"/>
  <c r="G15" i="1"/>
  <c r="H15" i="1"/>
  <c r="D16" i="1"/>
  <c r="E16" i="1"/>
  <c r="F16" i="1"/>
  <c r="G16" i="1"/>
  <c r="H16" i="1"/>
  <c r="I16" i="1"/>
  <c r="K16" i="1"/>
  <c r="L16" i="1"/>
  <c r="M16" i="1"/>
  <c r="N16" i="1"/>
  <c r="G17" i="1"/>
  <c r="H17" i="1"/>
  <c r="I17" i="1"/>
  <c r="E18" i="1"/>
  <c r="H18" i="1"/>
  <c r="I18" i="1"/>
  <c r="K18" i="1"/>
  <c r="L18" i="1"/>
  <c r="M18" i="1"/>
  <c r="N18" i="1"/>
  <c r="I19" i="1"/>
  <c r="K19" i="1"/>
  <c r="L19" i="1"/>
  <c r="M19" i="1"/>
  <c r="N19" i="1"/>
  <c r="G20" i="1"/>
  <c r="H20" i="1"/>
  <c r="I20" i="1"/>
  <c r="E21" i="1"/>
  <c r="F21" i="1"/>
  <c r="G21" i="1"/>
  <c r="H21" i="1"/>
  <c r="I21" i="1"/>
  <c r="J21" i="1"/>
  <c r="K21" i="1"/>
  <c r="L21" i="1"/>
  <c r="M21" i="1"/>
  <c r="N21" i="1"/>
  <c r="H22" i="1"/>
  <c r="I22" i="1"/>
  <c r="E23" i="1"/>
  <c r="F23" i="1"/>
  <c r="G23" i="1"/>
  <c r="H23" i="1"/>
  <c r="I23" i="1"/>
  <c r="J23" i="1"/>
  <c r="K23" i="1"/>
  <c r="L23" i="1"/>
  <c r="M23" i="1"/>
  <c r="N23" i="1"/>
  <c r="E24" i="1"/>
  <c r="F24" i="1"/>
  <c r="G24" i="1"/>
  <c r="H24" i="1"/>
  <c r="I24" i="1"/>
  <c r="J24" i="1"/>
  <c r="K24" i="1"/>
  <c r="L24" i="1"/>
  <c r="M24" i="1"/>
  <c r="N24" i="1"/>
  <c r="E25" i="1"/>
  <c r="F25" i="1"/>
  <c r="H25" i="1"/>
  <c r="I25" i="1"/>
  <c r="K25" i="1"/>
  <c r="L25" i="1"/>
  <c r="M25" i="1"/>
  <c r="N25" i="1"/>
  <c r="F26" i="1"/>
  <c r="H26" i="1"/>
  <c r="I26" i="1"/>
  <c r="K26" i="1"/>
  <c r="L26" i="1"/>
  <c r="M26" i="1"/>
  <c r="N26" i="1"/>
  <c r="E27" i="1"/>
  <c r="F27" i="1"/>
  <c r="G27" i="1"/>
  <c r="H27" i="1"/>
  <c r="I27" i="1"/>
  <c r="J27" i="1"/>
  <c r="K27" i="1"/>
  <c r="L27" i="1"/>
  <c r="M27" i="1"/>
  <c r="N27" i="1"/>
  <c r="O27" i="1"/>
  <c r="I28" i="1"/>
  <c r="E29" i="1"/>
  <c r="F29" i="1"/>
  <c r="G29" i="1"/>
  <c r="H29" i="1"/>
  <c r="I29" i="1"/>
  <c r="J29" i="1"/>
  <c r="K29" i="1"/>
  <c r="L29" i="1"/>
  <c r="M29" i="1"/>
  <c r="N29" i="1"/>
  <c r="P29" i="1"/>
  <c r="I30" i="1"/>
  <c r="Q30" i="1"/>
  <c r="D31" i="1"/>
  <c r="E31" i="1"/>
  <c r="F31" i="1"/>
  <c r="H31" i="1"/>
  <c r="K31" i="1"/>
  <c r="L31" i="1"/>
  <c r="M31" i="1"/>
  <c r="N31" i="1"/>
  <c r="O31" i="1"/>
  <c r="I32" i="1"/>
  <c r="E33" i="1"/>
  <c r="G33" i="1"/>
  <c r="H33" i="1"/>
  <c r="I33" i="1"/>
  <c r="J33" i="1"/>
  <c r="K33" i="1"/>
  <c r="L33" i="1"/>
  <c r="M33" i="1"/>
  <c r="N33" i="1"/>
  <c r="J34" i="1"/>
  <c r="I31" i="1"/>
  <c r="J36" i="1" l="1"/>
  <c r="L36" i="1"/>
  <c r="H36" i="1"/>
  <c r="P46" i="1" s="1"/>
  <c r="I36" i="1"/>
  <c r="M36" i="1"/>
  <c r="N36" i="1"/>
  <c r="E36" i="1"/>
  <c r="K36" i="1"/>
  <c r="F36" i="1"/>
  <c r="P47" i="1" l="1"/>
  <c r="G6" i="4"/>
  <c r="G4" i="4"/>
  <c r="P42" i="1"/>
  <c r="Q42" i="1"/>
  <c r="D34" i="1" l="1"/>
  <c r="O34" i="1" s="1"/>
  <c r="E11" i="21"/>
  <c r="B81" i="21" l="1"/>
  <c r="B83" i="21"/>
  <c r="O5" i="1" l="1"/>
  <c r="O16" i="1"/>
  <c r="O18" i="1"/>
  <c r="P5" i="1"/>
  <c r="P16" i="1"/>
  <c r="P18" i="1"/>
  <c r="P27" i="1"/>
  <c r="O29" i="1"/>
  <c r="P34" i="1"/>
  <c r="O36" i="1" l="1"/>
  <c r="P43" i="1" s="1"/>
  <c r="P36" i="1"/>
  <c r="Q41" i="1" s="1"/>
  <c r="P41" i="1" l="1"/>
  <c r="E13" i="21" s="1"/>
  <c r="E12" i="21" s="1"/>
  <c r="B61" i="21"/>
  <c r="Q43" i="1"/>
  <c r="E31" i="21" l="1"/>
  <c r="B63" i="21"/>
  <c r="B2" i="21" s="1"/>
  <c r="H13" i="21"/>
  <c r="K15" i="21"/>
  <c r="K13" i="21" s="1"/>
  <c r="B7" i="21"/>
  <c r="B62" i="21"/>
  <c r="B64" i="21" s="1"/>
  <c r="E2" i="21" l="1"/>
  <c r="E32" i="21"/>
  <c r="K7" i="21"/>
  <c r="K4" i="21" s="1"/>
  <c r="E7" i="21"/>
  <c r="N44" i="21" s="1"/>
  <c r="B4" i="21"/>
  <c r="B3" i="21" s="1"/>
  <c r="H7" i="21"/>
  <c r="H4" i="21" s="1"/>
  <c r="B15" i="21"/>
  <c r="E4" i="21" l="1"/>
  <c r="N38" i="21"/>
  <c r="N35" i="21"/>
  <c r="N37" i="21"/>
  <c r="N46" i="21"/>
  <c r="J46" i="21"/>
  <c r="J44" i="21"/>
  <c r="H11" i="21"/>
  <c r="H12" i="21" s="1"/>
  <c r="B11" i="21"/>
  <c r="N36" i="21" l="1"/>
  <c r="B13" i="21"/>
  <c r="N41" i="21"/>
  <c r="E3" i="21"/>
  <c r="N45" i="21" s="1"/>
  <c r="N42" i="21"/>
  <c r="N40" i="21"/>
  <c r="J38" i="21"/>
  <c r="E41" i="1"/>
  <c r="E43" i="1" s="1"/>
  <c r="J37" i="21"/>
  <c r="J35" i="21"/>
  <c r="B12" i="21" l="1"/>
  <c r="N47" i="21"/>
  <c r="N48" i="21"/>
  <c r="N39" i="21"/>
  <c r="N43" i="21"/>
  <c r="J41" i="21"/>
  <c r="E42" i="1"/>
  <c r="J42" i="21"/>
  <c r="J36" i="21"/>
  <c r="J40" i="21"/>
  <c r="I42" i="1"/>
  <c r="C35" i="21" l="1"/>
  <c r="J43" i="21"/>
  <c r="J45" i="21"/>
  <c r="J39" i="21"/>
  <c r="J47" i="21"/>
  <c r="J48" i="21"/>
  <c r="J76" i="32" l="1"/>
  <c r="B27" i="21" l="1"/>
  <c r="B35" i="21" s="1"/>
  <c r="G31" i="1" l="1"/>
  <c r="Q31" i="1"/>
  <c r="B75" i="21" l="1"/>
  <c r="B76" i="21"/>
  <c r="B66" i="21" l="1"/>
  <c r="B82" i="21"/>
  <c r="J1003" i="29" s="1"/>
  <c r="N960" i="29" l="1"/>
  <c r="N1801" i="29"/>
  <c r="J1800" i="29"/>
  <c r="N1799" i="29"/>
  <c r="J1798" i="29"/>
  <c r="N1797" i="29"/>
  <c r="J1796" i="29"/>
  <c r="N1795" i="29"/>
  <c r="J1794" i="29"/>
  <c r="N1793" i="29"/>
  <c r="J1792" i="29"/>
  <c r="N1791" i="29"/>
  <c r="J1790" i="29"/>
  <c r="N1789" i="29"/>
  <c r="J1788" i="29"/>
  <c r="N1787" i="29"/>
  <c r="J1786" i="29"/>
  <c r="N1785" i="29"/>
  <c r="J1784" i="29"/>
  <c r="N1783" i="29"/>
  <c r="J1782" i="29"/>
  <c r="N1781" i="29"/>
  <c r="J1780" i="29"/>
  <c r="N1779" i="29"/>
  <c r="J1778" i="29"/>
  <c r="N1777" i="29"/>
  <c r="J1776" i="29"/>
  <c r="N1775" i="29"/>
  <c r="J1774" i="29"/>
  <c r="N1773" i="29"/>
  <c r="J1772" i="29"/>
  <c r="N1771" i="29"/>
  <c r="J1770" i="29"/>
  <c r="N1769" i="29"/>
  <c r="J1768" i="29"/>
  <c r="N1767" i="29"/>
  <c r="J1766" i="29"/>
  <c r="N1765" i="29"/>
  <c r="J1764" i="29"/>
  <c r="N1763" i="29"/>
  <c r="J1762" i="29"/>
  <c r="N1761" i="29"/>
  <c r="J1760" i="29"/>
  <c r="N1759" i="29"/>
  <c r="J1758" i="29"/>
  <c r="N1757" i="29"/>
  <c r="J1756" i="29"/>
  <c r="N1755" i="29"/>
  <c r="J1754" i="29"/>
  <c r="N1753" i="29"/>
  <c r="J1752" i="29"/>
  <c r="N1751" i="29"/>
  <c r="J1750" i="29"/>
  <c r="N1749" i="29"/>
  <c r="J1748" i="29"/>
  <c r="N1747" i="29"/>
  <c r="J1746" i="29"/>
  <c r="N1745" i="29"/>
  <c r="J1744" i="29"/>
  <c r="N1743" i="29"/>
  <c r="N1742" i="29"/>
  <c r="J1738" i="29"/>
  <c r="J1737" i="29"/>
  <c r="N1735" i="29"/>
  <c r="N1734" i="29"/>
  <c r="J1730" i="29"/>
  <c r="J1729" i="29"/>
  <c r="N1727" i="29"/>
  <c r="N1726" i="29"/>
  <c r="J1722" i="29"/>
  <c r="J1721" i="29"/>
  <c r="N1719" i="29"/>
  <c r="N1718" i="29"/>
  <c r="J1714" i="29"/>
  <c r="J1713" i="29"/>
  <c r="N1711" i="29"/>
  <c r="N1710" i="29"/>
  <c r="J1706" i="29"/>
  <c r="J1705" i="29"/>
  <c r="N1703" i="29"/>
  <c r="N1702" i="29"/>
  <c r="J1698" i="29"/>
  <c r="J1697" i="29"/>
  <c r="N1695" i="29"/>
  <c r="N1694" i="29"/>
  <c r="J1690" i="29"/>
  <c r="J1689" i="29"/>
  <c r="N1687" i="29"/>
  <c r="N1686" i="29"/>
  <c r="J1682" i="29"/>
  <c r="J1681" i="29"/>
  <c r="N1679" i="29"/>
  <c r="N1678" i="29"/>
  <c r="J1674" i="29"/>
  <c r="J1673" i="29"/>
  <c r="N1671" i="29"/>
  <c r="N1670" i="29"/>
  <c r="J1666" i="29"/>
  <c r="J1665" i="29"/>
  <c r="N1663" i="29"/>
  <c r="N1662" i="29"/>
  <c r="J1658" i="29"/>
  <c r="J1657" i="29"/>
  <c r="N1655" i="29"/>
  <c r="N1654" i="29"/>
  <c r="J1511" i="29"/>
  <c r="N1508" i="29"/>
  <c r="J1503" i="29"/>
  <c r="N1500" i="29"/>
  <c r="J1495" i="29"/>
  <c r="N1492" i="29"/>
  <c r="J1487" i="29"/>
  <c r="N1484" i="29"/>
  <c r="J1479" i="29"/>
  <c r="N1476" i="29"/>
  <c r="J1440" i="29"/>
  <c r="J1433" i="29"/>
  <c r="N1429" i="29"/>
  <c r="N1422" i="29"/>
  <c r="J1408" i="29"/>
  <c r="J1395" i="29"/>
  <c r="N1390" i="29"/>
  <c r="N1385" i="29"/>
  <c r="J1378" i="29"/>
  <c r="J1371" i="29"/>
  <c r="J1364" i="29"/>
  <c r="N1335" i="29"/>
  <c r="N1328" i="29"/>
  <c r="N1320" i="29"/>
  <c r="J1299" i="29"/>
  <c r="J1245" i="29"/>
  <c r="N1234" i="29"/>
  <c r="J1213" i="29"/>
  <c r="N1202" i="29"/>
  <c r="J1181" i="29"/>
  <c r="N1170" i="29"/>
  <c r="J1149" i="29"/>
  <c r="N1138" i="29"/>
  <c r="J1119" i="29"/>
  <c r="N1024" i="29"/>
  <c r="J939" i="29"/>
  <c r="J1743" i="29"/>
  <c r="N1741" i="29"/>
  <c r="N1740" i="29"/>
  <c r="J1736" i="29"/>
  <c r="J1735" i="29"/>
  <c r="N1733" i="29"/>
  <c r="N1732" i="29"/>
  <c r="J1728" i="29"/>
  <c r="J1727" i="29"/>
  <c r="N1725" i="29"/>
  <c r="N1724" i="29"/>
  <c r="J1720" i="29"/>
  <c r="J1719" i="29"/>
  <c r="N1717" i="29"/>
  <c r="N1716" i="29"/>
  <c r="J1712" i="29"/>
  <c r="J1711" i="29"/>
  <c r="N1709" i="29"/>
  <c r="N1708" i="29"/>
  <c r="J1704" i="29"/>
  <c r="J1703" i="29"/>
  <c r="N1701" i="29"/>
  <c r="N1700" i="29"/>
  <c r="J1696" i="29"/>
  <c r="J1695" i="29"/>
  <c r="N1693" i="29"/>
  <c r="N1692" i="29"/>
  <c r="J1688" i="29"/>
  <c r="J1687" i="29"/>
  <c r="N1685" i="29"/>
  <c r="N1684" i="29"/>
  <c r="J1680" i="29"/>
  <c r="J1679" i="29"/>
  <c r="N1677" i="29"/>
  <c r="N1676" i="29"/>
  <c r="J1672" i="29"/>
  <c r="J1671" i="29"/>
  <c r="N1669" i="29"/>
  <c r="N1668" i="29"/>
  <c r="J1664" i="29"/>
  <c r="J1663" i="29"/>
  <c r="N1661" i="29"/>
  <c r="N1660" i="29"/>
  <c r="J1656" i="29"/>
  <c r="J1655" i="29"/>
  <c r="N1653" i="29"/>
  <c r="J1621" i="29"/>
  <c r="N1618" i="29"/>
  <c r="J1617" i="29"/>
  <c r="N1614" i="29"/>
  <c r="J1613" i="29"/>
  <c r="N1610" i="29"/>
  <c r="J1609" i="29"/>
  <c r="N1606" i="29"/>
  <c r="J1605" i="29"/>
  <c r="N1602" i="29"/>
  <c r="J1601" i="29"/>
  <c r="N1598" i="29"/>
  <c r="J1597" i="29"/>
  <c r="N1594" i="29"/>
  <c r="J1593" i="29"/>
  <c r="N1590" i="29"/>
  <c r="J1589" i="29"/>
  <c r="N1586" i="29"/>
  <c r="J1585" i="29"/>
  <c r="N1582" i="29"/>
  <c r="J1581" i="29"/>
  <c r="N1578" i="29"/>
  <c r="J1577" i="29"/>
  <c r="N1574" i="29"/>
  <c r="J1573" i="29"/>
  <c r="N1570" i="29"/>
  <c r="J1569" i="29"/>
  <c r="N1566" i="29"/>
  <c r="J1565" i="29"/>
  <c r="N1562" i="29"/>
  <c r="J1561" i="29"/>
  <c r="N1558" i="29"/>
  <c r="J1557" i="29"/>
  <c r="N1554" i="29"/>
  <c r="J1553" i="29"/>
  <c r="N1550" i="29"/>
  <c r="J1549" i="29"/>
  <c r="N1546" i="29"/>
  <c r="J1545" i="29"/>
  <c r="N1542" i="29"/>
  <c r="J1541" i="29"/>
  <c r="N1538" i="29"/>
  <c r="J1537" i="29"/>
  <c r="N1534" i="29"/>
  <c r="J1533" i="29"/>
  <c r="N1530" i="29"/>
  <c r="J1529" i="29"/>
  <c r="N1526" i="29"/>
  <c r="J1525" i="29"/>
  <c r="N1522" i="29"/>
  <c r="J1521" i="29"/>
  <c r="N1518" i="29"/>
  <c r="J1517" i="29"/>
  <c r="J1513" i="29"/>
  <c r="N1510" i="29"/>
  <c r="J1505" i="29"/>
  <c r="N1502" i="29"/>
  <c r="J1497" i="29"/>
  <c r="N1494" i="29"/>
  <c r="J1489" i="29"/>
  <c r="N1486" i="29"/>
  <c r="J1481" i="29"/>
  <c r="N1478" i="29"/>
  <c r="J1473" i="29"/>
  <c r="J1432" i="29"/>
  <c r="J1425" i="29"/>
  <c r="N1421" i="29"/>
  <c r="N1414" i="29"/>
  <c r="N1403" i="29"/>
  <c r="N1383" i="29"/>
  <c r="N1376" i="29"/>
  <c r="N1369" i="29"/>
  <c r="J1362" i="29"/>
  <c r="J1355" i="29"/>
  <c r="J1348" i="29"/>
  <c r="J1307" i="29"/>
  <c r="N1296" i="29"/>
  <c r="J1253" i="29"/>
  <c r="N1242" i="29"/>
  <c r="J1221" i="29"/>
  <c r="N1210" i="29"/>
  <c r="J1189" i="29"/>
  <c r="N1178" i="29"/>
  <c r="J1157" i="29"/>
  <c r="N1146" i="29"/>
  <c r="J1135" i="29"/>
  <c r="J1081" i="29"/>
  <c r="N1056" i="29"/>
  <c r="J971" i="29"/>
  <c r="J1801" i="29"/>
  <c r="N1800" i="29"/>
  <c r="J1799" i="29"/>
  <c r="N1798" i="29"/>
  <c r="J1797" i="29"/>
  <c r="N1796" i="29"/>
  <c r="J1795" i="29"/>
  <c r="N1794" i="29"/>
  <c r="J1793" i="29"/>
  <c r="N1792" i="29"/>
  <c r="J1791" i="29"/>
  <c r="N1790" i="29"/>
  <c r="J1789" i="29"/>
  <c r="N1788" i="29"/>
  <c r="J1787" i="29"/>
  <c r="N1786" i="29"/>
  <c r="J1785" i="29"/>
  <c r="N1784" i="29"/>
  <c r="J1783" i="29"/>
  <c r="N1782" i="29"/>
  <c r="J1781" i="29"/>
  <c r="N1780" i="29"/>
  <c r="J1779" i="29"/>
  <c r="N1778" i="29"/>
  <c r="J1777" i="29"/>
  <c r="N1776" i="29"/>
  <c r="J1775" i="29"/>
  <c r="N1774" i="29"/>
  <c r="J1773" i="29"/>
  <c r="N1772" i="29"/>
  <c r="J1771" i="29"/>
  <c r="N1770" i="29"/>
  <c r="J1769" i="29"/>
  <c r="N1768" i="29"/>
  <c r="J1767" i="29"/>
  <c r="N1766" i="29"/>
  <c r="J1765" i="29"/>
  <c r="N1764" i="29"/>
  <c r="J1763" i="29"/>
  <c r="N1762" i="29"/>
  <c r="J1761" i="29"/>
  <c r="N1760" i="29"/>
  <c r="J1759" i="29"/>
  <c r="N1758" i="29"/>
  <c r="J1757" i="29"/>
  <c r="N1756" i="29"/>
  <c r="J1755" i="29"/>
  <c r="N1754" i="29"/>
  <c r="J1753" i="29"/>
  <c r="N1752" i="29"/>
  <c r="J1751" i="29"/>
  <c r="N1750" i="29"/>
  <c r="J1749" i="29"/>
  <c r="N1748" i="29"/>
  <c r="J1747" i="29"/>
  <c r="N1746" i="29"/>
  <c r="J1745" i="29"/>
  <c r="N1744" i="29"/>
  <c r="J1742" i="29"/>
  <c r="J1741" i="29"/>
  <c r="N1739" i="29"/>
  <c r="N1738" i="29"/>
  <c r="J1734" i="29"/>
  <c r="J1733" i="29"/>
  <c r="N1731" i="29"/>
  <c r="N1730" i="29"/>
  <c r="J1726" i="29"/>
  <c r="J1725" i="29"/>
  <c r="N1723" i="29"/>
  <c r="N1722" i="29"/>
  <c r="J1718" i="29"/>
  <c r="J1717" i="29"/>
  <c r="N1715" i="29"/>
  <c r="N1714" i="29"/>
  <c r="J1710" i="29"/>
  <c r="J1709" i="29"/>
  <c r="N1707" i="29"/>
  <c r="N1706" i="29"/>
  <c r="J1702" i="29"/>
  <c r="J1701" i="29"/>
  <c r="N1699" i="29"/>
  <c r="N1698" i="29"/>
  <c r="J1694" i="29"/>
  <c r="J1693" i="29"/>
  <c r="N1691" i="29"/>
  <c r="N1690" i="29"/>
  <c r="J1686" i="29"/>
  <c r="J1685" i="29"/>
  <c r="N1683" i="29"/>
  <c r="N1682" i="29"/>
  <c r="J1678" i="29"/>
  <c r="J1677" i="29"/>
  <c r="N1675" i="29"/>
  <c r="N1674" i="29"/>
  <c r="J1670" i="29"/>
  <c r="J1669" i="29"/>
  <c r="N1667" i="29"/>
  <c r="N1666" i="29"/>
  <c r="J1662" i="29"/>
  <c r="J1661" i="29"/>
  <c r="N1659" i="29"/>
  <c r="N1658" i="29"/>
  <c r="J1654" i="29"/>
  <c r="J1653" i="29"/>
  <c r="J1515" i="29"/>
  <c r="N1512" i="29"/>
  <c r="J1507" i="29"/>
  <c r="N1504" i="29"/>
  <c r="J1499" i="29"/>
  <c r="N1496" i="29"/>
  <c r="J1491" i="29"/>
  <c r="N1488" i="29"/>
  <c r="J1483" i="29"/>
  <c r="N1480" i="29"/>
  <c r="J1475" i="29"/>
  <c r="N1438" i="29"/>
  <c r="J1424" i="29"/>
  <c r="J1417" i="29"/>
  <c r="N1413" i="29"/>
  <c r="N1406" i="29"/>
  <c r="J1402" i="29"/>
  <c r="N1397" i="29"/>
  <c r="N1367" i="29"/>
  <c r="N1360" i="29"/>
  <c r="N1353" i="29"/>
  <c r="J1346" i="29"/>
  <c r="J1339" i="29"/>
  <c r="J1332" i="29"/>
  <c r="J1315" i="29"/>
  <c r="N1304" i="29"/>
  <c r="J1261" i="29"/>
  <c r="N1250" i="29"/>
  <c r="J1229" i="29"/>
  <c r="N1218" i="29"/>
  <c r="J1197" i="29"/>
  <c r="N1186" i="29"/>
  <c r="J1165" i="29"/>
  <c r="N1154" i="29"/>
  <c r="J35" i="29"/>
  <c r="J36" i="29"/>
  <c r="J43" i="29"/>
  <c r="J44" i="29"/>
  <c r="J50" i="29"/>
  <c r="J52" i="29"/>
  <c r="J54" i="29"/>
  <c r="J56" i="29"/>
  <c r="J58" i="29"/>
  <c r="J60" i="29"/>
  <c r="J62" i="29"/>
  <c r="J64" i="29"/>
  <c r="J37" i="29"/>
  <c r="J38" i="29"/>
  <c r="J45" i="29"/>
  <c r="J46" i="29"/>
  <c r="J39" i="29"/>
  <c r="J48" i="29"/>
  <c r="J51" i="29"/>
  <c r="J55" i="29"/>
  <c r="J59" i="29"/>
  <c r="J63" i="29"/>
  <c r="J70" i="29"/>
  <c r="J71" i="29"/>
  <c r="J78" i="29"/>
  <c r="J79" i="29"/>
  <c r="J86" i="29"/>
  <c r="J87" i="29"/>
  <c r="J34" i="29"/>
  <c r="J41" i="29"/>
  <c r="J72" i="29"/>
  <c r="J73" i="29"/>
  <c r="J80" i="29"/>
  <c r="J81" i="29"/>
  <c r="J88" i="29"/>
  <c r="J89" i="29"/>
  <c r="J91" i="29"/>
  <c r="J93" i="29"/>
  <c r="J95" i="29"/>
  <c r="J97" i="29"/>
  <c r="J99" i="29"/>
  <c r="J101" i="29"/>
  <c r="J103" i="29"/>
  <c r="J105" i="29"/>
  <c r="J107" i="29"/>
  <c r="J109" i="29"/>
  <c r="J111" i="29"/>
  <c r="J113" i="29"/>
  <c r="J115" i="29"/>
  <c r="J117" i="29"/>
  <c r="J119" i="29"/>
  <c r="J121" i="29"/>
  <c r="J123" i="29"/>
  <c r="J125" i="29"/>
  <c r="J127" i="29"/>
  <c r="J129" i="29"/>
  <c r="J131" i="29"/>
  <c r="J133" i="29"/>
  <c r="J135" i="29"/>
  <c r="J137" i="29"/>
  <c r="J139" i="29"/>
  <c r="J141" i="29"/>
  <c r="J143" i="29"/>
  <c r="J145" i="29"/>
  <c r="J147" i="29"/>
  <c r="J149" i="29"/>
  <c r="J151" i="29"/>
  <c r="J153" i="29"/>
  <c r="J155" i="29"/>
  <c r="J40" i="29"/>
  <c r="J47" i="29"/>
  <c r="J53" i="29"/>
  <c r="J61" i="29"/>
  <c r="J66" i="29"/>
  <c r="J75" i="29"/>
  <c r="J82" i="29"/>
  <c r="J33" i="29"/>
  <c r="J68" i="29"/>
  <c r="J77" i="29"/>
  <c r="J84" i="29"/>
  <c r="J92" i="29"/>
  <c r="J96" i="29"/>
  <c r="J100" i="29"/>
  <c r="J104" i="29"/>
  <c r="J108" i="29"/>
  <c r="J112" i="29"/>
  <c r="J116" i="29"/>
  <c r="J120" i="29"/>
  <c r="J124" i="29"/>
  <c r="J128" i="29"/>
  <c r="J132" i="29"/>
  <c r="J136" i="29"/>
  <c r="J140" i="29"/>
  <c r="J144" i="29"/>
  <c r="J148" i="29"/>
  <c r="J152" i="29"/>
  <c r="J154" i="29"/>
  <c r="J158" i="29"/>
  <c r="J160" i="29"/>
  <c r="J162" i="29"/>
  <c r="J164" i="29"/>
  <c r="J166" i="29"/>
  <c r="J168" i="29"/>
  <c r="J170" i="29"/>
  <c r="J172" i="29"/>
  <c r="J174" i="29"/>
  <c r="J176" i="29"/>
  <c r="J178" i="29"/>
  <c r="J180" i="29"/>
  <c r="J182" i="29"/>
  <c r="J42" i="29"/>
  <c r="J49" i="29"/>
  <c r="J69" i="29"/>
  <c r="J76" i="29"/>
  <c r="J90" i="29"/>
  <c r="J98" i="29"/>
  <c r="J57" i="29"/>
  <c r="J67" i="29"/>
  <c r="J74" i="29"/>
  <c r="J85" i="29"/>
  <c r="J94" i="29"/>
  <c r="J102" i="29"/>
  <c r="J110" i="29"/>
  <c r="J118" i="29"/>
  <c r="J126" i="29"/>
  <c r="J134" i="29"/>
  <c r="J142" i="29"/>
  <c r="J150" i="29"/>
  <c r="J159" i="29"/>
  <c r="J163" i="29"/>
  <c r="J167" i="29"/>
  <c r="J171" i="29"/>
  <c r="J175" i="29"/>
  <c r="J179" i="29"/>
  <c r="J114" i="29"/>
  <c r="J146" i="29"/>
  <c r="J161" i="29"/>
  <c r="J83" i="29"/>
  <c r="J122" i="29"/>
  <c r="J156" i="29"/>
  <c r="J165" i="29"/>
  <c r="J181" i="29"/>
  <c r="J138" i="29"/>
  <c r="J157" i="29"/>
  <c r="J213" i="29"/>
  <c r="J218" i="29"/>
  <c r="J220" i="29"/>
  <c r="J222" i="29"/>
  <c r="J224" i="29"/>
  <c r="J226" i="29"/>
  <c r="J228" i="29"/>
  <c r="J230" i="29"/>
  <c r="J232" i="29"/>
  <c r="J234" i="29"/>
  <c r="J236" i="29"/>
  <c r="J238" i="29"/>
  <c r="J240" i="29"/>
  <c r="J242" i="29"/>
  <c r="J244" i="29"/>
  <c r="J246" i="29"/>
  <c r="J248" i="29"/>
  <c r="J250" i="29"/>
  <c r="J252" i="29"/>
  <c r="J254" i="29"/>
  <c r="J256" i="29"/>
  <c r="J258" i="29"/>
  <c r="J260" i="29"/>
  <c r="J262" i="29"/>
  <c r="J264" i="29"/>
  <c r="J266" i="29"/>
  <c r="J268" i="29"/>
  <c r="J270" i="29"/>
  <c r="J272" i="29"/>
  <c r="J274" i="29"/>
  <c r="J276" i="29"/>
  <c r="J278" i="29"/>
  <c r="J280" i="29"/>
  <c r="J282" i="29"/>
  <c r="J284" i="29"/>
  <c r="J286" i="29"/>
  <c r="J288" i="29"/>
  <c r="J290" i="29"/>
  <c r="J169" i="29"/>
  <c r="J214" i="29"/>
  <c r="J215" i="29"/>
  <c r="J65" i="29"/>
  <c r="J106" i="29"/>
  <c r="J177" i="29"/>
  <c r="J216" i="29"/>
  <c r="J217" i="29"/>
  <c r="J219" i="29"/>
  <c r="J221" i="29"/>
  <c r="J223" i="29"/>
  <c r="J225" i="29"/>
  <c r="J227" i="29"/>
  <c r="J229" i="29"/>
  <c r="J231" i="29"/>
  <c r="J233" i="29"/>
  <c r="J235" i="29"/>
  <c r="J237" i="29"/>
  <c r="J239" i="29"/>
  <c r="J241" i="29"/>
  <c r="J243" i="29"/>
  <c r="J245" i="29"/>
  <c r="J247" i="29"/>
  <c r="J249" i="29"/>
  <c r="J251" i="29"/>
  <c r="J253" i="29"/>
  <c r="J255" i="29"/>
  <c r="J257" i="29"/>
  <c r="J259" i="29"/>
  <c r="J261" i="29"/>
  <c r="J263" i="29"/>
  <c r="J265" i="29"/>
  <c r="J267" i="29"/>
  <c r="J269" i="29"/>
  <c r="J271" i="29"/>
  <c r="J273" i="29"/>
  <c r="J275" i="29"/>
  <c r="J277" i="29"/>
  <c r="J279" i="29"/>
  <c r="J281" i="29"/>
  <c r="J283" i="29"/>
  <c r="J285" i="29"/>
  <c r="J287" i="29"/>
  <c r="J289" i="29"/>
  <c r="J291" i="29"/>
  <c r="J293" i="29"/>
  <c r="J300" i="29"/>
  <c r="J301" i="29"/>
  <c r="J308" i="29"/>
  <c r="J309" i="29"/>
  <c r="J316" i="29"/>
  <c r="J317" i="29"/>
  <c r="J324" i="29"/>
  <c r="J325" i="29"/>
  <c r="J332" i="29"/>
  <c r="J333" i="29"/>
  <c r="J340" i="29"/>
  <c r="J341" i="29"/>
  <c r="J348" i="29"/>
  <c r="J349" i="29"/>
  <c r="J356" i="29"/>
  <c r="J357" i="29"/>
  <c r="J394" i="29"/>
  <c r="J396" i="29"/>
  <c r="J398" i="29"/>
  <c r="J400" i="29"/>
  <c r="J402" i="29"/>
  <c r="J404" i="29"/>
  <c r="J406" i="29"/>
  <c r="J408" i="29"/>
  <c r="J410" i="29"/>
  <c r="J412" i="29"/>
  <c r="J414" i="29"/>
  <c r="J416" i="29"/>
  <c r="J418" i="29"/>
  <c r="J420" i="29"/>
  <c r="J422" i="29"/>
  <c r="J424" i="29"/>
  <c r="J426" i="29"/>
  <c r="J428" i="29"/>
  <c r="J430" i="29"/>
  <c r="J432" i="29"/>
  <c r="J434" i="29"/>
  <c r="J436" i="29"/>
  <c r="J438" i="29"/>
  <c r="J440" i="29"/>
  <c r="J442" i="29"/>
  <c r="J444" i="29"/>
  <c r="J446" i="29"/>
  <c r="J448" i="29"/>
  <c r="J450" i="29"/>
  <c r="J452" i="29"/>
  <c r="J454" i="29"/>
  <c r="J456" i="29"/>
  <c r="J458" i="29"/>
  <c r="J130" i="29"/>
  <c r="J294" i="29"/>
  <c r="J295" i="29"/>
  <c r="J302" i="29"/>
  <c r="J303" i="29"/>
  <c r="J310" i="29"/>
  <c r="J311" i="29"/>
  <c r="J318" i="29"/>
  <c r="J319" i="29"/>
  <c r="J326" i="29"/>
  <c r="J327" i="29"/>
  <c r="J334" i="29"/>
  <c r="J335" i="29"/>
  <c r="J342" i="29"/>
  <c r="J343" i="29"/>
  <c r="J350" i="29"/>
  <c r="J351" i="29"/>
  <c r="J358" i="29"/>
  <c r="J359" i="29"/>
  <c r="J173" i="29"/>
  <c r="J292" i="29"/>
  <c r="J296" i="29"/>
  <c r="J297" i="29"/>
  <c r="J304" i="29"/>
  <c r="J305" i="29"/>
  <c r="J312" i="29"/>
  <c r="J313" i="29"/>
  <c r="J320" i="29"/>
  <c r="J321" i="29"/>
  <c r="J328" i="29"/>
  <c r="J329" i="29"/>
  <c r="J336" i="29"/>
  <c r="J337" i="29"/>
  <c r="J344" i="29"/>
  <c r="J345" i="29"/>
  <c r="J352" i="29"/>
  <c r="J353" i="29"/>
  <c r="J360" i="29"/>
  <c r="J361" i="29"/>
  <c r="J393" i="29"/>
  <c r="J395" i="29"/>
  <c r="J397" i="29"/>
  <c r="J399" i="29"/>
  <c r="J401" i="29"/>
  <c r="J403" i="29"/>
  <c r="J405" i="29"/>
  <c r="J407" i="29"/>
  <c r="J409" i="29"/>
  <c r="J411" i="29"/>
  <c r="J413" i="29"/>
  <c r="J415" i="29"/>
  <c r="J417" i="29"/>
  <c r="J419" i="29"/>
  <c r="J421" i="29"/>
  <c r="J423" i="29"/>
  <c r="J425" i="29"/>
  <c r="J427" i="29"/>
  <c r="J429" i="29"/>
  <c r="J431" i="29"/>
  <c r="J433" i="29"/>
  <c r="J435" i="29"/>
  <c r="J437" i="29"/>
  <c r="J439" i="29"/>
  <c r="J441" i="29"/>
  <c r="J443" i="29"/>
  <c r="J445" i="29"/>
  <c r="J447" i="29"/>
  <c r="J449" i="29"/>
  <c r="J451" i="29"/>
  <c r="J453" i="29"/>
  <c r="J307" i="29"/>
  <c r="J314" i="29"/>
  <c r="J339" i="29"/>
  <c r="J346" i="29"/>
  <c r="J457" i="29"/>
  <c r="J464" i="29"/>
  <c r="J465" i="29"/>
  <c r="J472" i="29"/>
  <c r="J473" i="29"/>
  <c r="J480" i="29"/>
  <c r="J481" i="29"/>
  <c r="J488" i="29"/>
  <c r="J489" i="29"/>
  <c r="J496" i="29"/>
  <c r="J497" i="29"/>
  <c r="J503" i="29"/>
  <c r="J505" i="29"/>
  <c r="J507" i="29"/>
  <c r="J509" i="29"/>
  <c r="J511" i="29"/>
  <c r="J513" i="29"/>
  <c r="J515" i="29"/>
  <c r="J517" i="29"/>
  <c r="J519" i="29"/>
  <c r="J521" i="29"/>
  <c r="J523" i="29"/>
  <c r="J525" i="29"/>
  <c r="J527" i="29"/>
  <c r="J529" i="29"/>
  <c r="J531" i="29"/>
  <c r="J533" i="29"/>
  <c r="J535" i="29"/>
  <c r="J537" i="29"/>
  <c r="J539" i="29"/>
  <c r="J541" i="29"/>
  <c r="J315" i="29"/>
  <c r="J322" i="29"/>
  <c r="J347" i="29"/>
  <c r="J354" i="29"/>
  <c r="J466" i="29"/>
  <c r="J467" i="29"/>
  <c r="J474" i="29"/>
  <c r="J475" i="29"/>
  <c r="J482" i="29"/>
  <c r="J483" i="29"/>
  <c r="J490" i="29"/>
  <c r="J491" i="29"/>
  <c r="J498" i="29"/>
  <c r="J499" i="29"/>
  <c r="J298" i="29"/>
  <c r="J323" i="29"/>
  <c r="J330" i="29"/>
  <c r="J355" i="29"/>
  <c r="J455" i="29"/>
  <c r="J459" i="29"/>
  <c r="J460" i="29"/>
  <c r="J461" i="29"/>
  <c r="J468" i="29"/>
  <c r="J469" i="29"/>
  <c r="J476" i="29"/>
  <c r="J477" i="29"/>
  <c r="J484" i="29"/>
  <c r="J485" i="29"/>
  <c r="J492" i="29"/>
  <c r="J493" i="29"/>
  <c r="J500" i="29"/>
  <c r="J501" i="29"/>
  <c r="J504" i="29"/>
  <c r="J506" i="29"/>
  <c r="J508" i="29"/>
  <c r="J510" i="29"/>
  <c r="J512" i="29"/>
  <c r="J514" i="29"/>
  <c r="J516" i="29"/>
  <c r="J518" i="29"/>
  <c r="J520" i="29"/>
  <c r="J522" i="29"/>
  <c r="J524" i="29"/>
  <c r="J526" i="29"/>
  <c r="J528" i="29"/>
  <c r="J530" i="29"/>
  <c r="J532" i="29"/>
  <c r="J534" i="29"/>
  <c r="J536" i="29"/>
  <c r="J538" i="29"/>
  <c r="J540" i="29"/>
  <c r="J338" i="29"/>
  <c r="J463" i="29"/>
  <c r="J470" i="29"/>
  <c r="J495" i="29"/>
  <c r="J502" i="29"/>
  <c r="J575" i="29"/>
  <c r="J576" i="29"/>
  <c r="J583" i="29"/>
  <c r="J584" i="29"/>
  <c r="J591" i="29"/>
  <c r="J592" i="29"/>
  <c r="J599" i="29"/>
  <c r="J600" i="29"/>
  <c r="J607" i="29"/>
  <c r="J608" i="29"/>
  <c r="J615" i="29"/>
  <c r="J616" i="29"/>
  <c r="J623" i="29"/>
  <c r="J624" i="29"/>
  <c r="J631" i="29"/>
  <c r="J632" i="29"/>
  <c r="J639" i="29"/>
  <c r="J640" i="29"/>
  <c r="J647" i="29"/>
  <c r="J648" i="29"/>
  <c r="J655" i="29"/>
  <c r="J656" i="29"/>
  <c r="J663" i="29"/>
  <c r="J664" i="29"/>
  <c r="J671" i="29"/>
  <c r="J672" i="29"/>
  <c r="J679" i="29"/>
  <c r="J680" i="29"/>
  <c r="J687" i="29"/>
  <c r="J688" i="29"/>
  <c r="J695" i="29"/>
  <c r="J696" i="29"/>
  <c r="J703" i="29"/>
  <c r="J704" i="29"/>
  <c r="J299" i="29"/>
  <c r="J471" i="29"/>
  <c r="J478" i="29"/>
  <c r="J577" i="29"/>
  <c r="J578" i="29"/>
  <c r="J585" i="29"/>
  <c r="J586" i="29"/>
  <c r="J593" i="29"/>
  <c r="J594" i="29"/>
  <c r="J601" i="29"/>
  <c r="J602" i="29"/>
  <c r="J609" i="29"/>
  <c r="J610" i="29"/>
  <c r="J617" i="29"/>
  <c r="J618" i="29"/>
  <c r="J625" i="29"/>
  <c r="J626" i="29"/>
  <c r="J633" i="29"/>
  <c r="J634" i="29"/>
  <c r="J641" i="29"/>
  <c r="J642" i="29"/>
  <c r="J331" i="29"/>
  <c r="J479" i="29"/>
  <c r="J486" i="29"/>
  <c r="J579" i="29"/>
  <c r="J580" i="29"/>
  <c r="J587" i="29"/>
  <c r="J588" i="29"/>
  <c r="J595" i="29"/>
  <c r="J596" i="29"/>
  <c r="J603" i="29"/>
  <c r="J604" i="29"/>
  <c r="J611" i="29"/>
  <c r="J612" i="29"/>
  <c r="J619" i="29"/>
  <c r="J620" i="29"/>
  <c r="J627" i="29"/>
  <c r="J628" i="29"/>
  <c r="J635" i="29"/>
  <c r="J636" i="29"/>
  <c r="J643" i="29"/>
  <c r="J644" i="29"/>
  <c r="J651" i="29"/>
  <c r="J652" i="29"/>
  <c r="J659" i="29"/>
  <c r="J660" i="29"/>
  <c r="J306" i="29"/>
  <c r="J494" i="29"/>
  <c r="J590" i="29"/>
  <c r="J597" i="29"/>
  <c r="J622" i="29"/>
  <c r="J629" i="29"/>
  <c r="J646" i="29"/>
  <c r="J653" i="29"/>
  <c r="J662" i="29"/>
  <c r="J666" i="29"/>
  <c r="J667" i="29"/>
  <c r="J673" i="29"/>
  <c r="J686" i="29"/>
  <c r="J692" i="29"/>
  <c r="J693" i="29"/>
  <c r="J698" i="29"/>
  <c r="J699" i="29"/>
  <c r="J705" i="29"/>
  <c r="J711" i="29"/>
  <c r="J712" i="29"/>
  <c r="J719" i="29"/>
  <c r="J720" i="29"/>
  <c r="J757" i="29"/>
  <c r="J758" i="29"/>
  <c r="J765" i="29"/>
  <c r="J766" i="29"/>
  <c r="J773" i="29"/>
  <c r="J774" i="29"/>
  <c r="J781" i="29"/>
  <c r="J782" i="29"/>
  <c r="J789" i="29"/>
  <c r="J790" i="29"/>
  <c r="J797" i="29"/>
  <c r="J798" i="29"/>
  <c r="J805" i="29"/>
  <c r="J806" i="29"/>
  <c r="J813" i="29"/>
  <c r="J814" i="29"/>
  <c r="J821" i="29"/>
  <c r="J822" i="29"/>
  <c r="J829" i="29"/>
  <c r="J830" i="29"/>
  <c r="J837" i="29"/>
  <c r="J838" i="29"/>
  <c r="J845" i="29"/>
  <c r="J846" i="29"/>
  <c r="J853" i="29"/>
  <c r="J854" i="29"/>
  <c r="J573" i="29"/>
  <c r="J598" i="29"/>
  <c r="J605" i="29"/>
  <c r="J630" i="29"/>
  <c r="J637" i="29"/>
  <c r="J650" i="29"/>
  <c r="J657" i="29"/>
  <c r="J665" i="29"/>
  <c r="J678" i="29"/>
  <c r="J684" i="29"/>
  <c r="J685" i="29"/>
  <c r="J690" i="29"/>
  <c r="J691" i="29"/>
  <c r="J697" i="29"/>
  <c r="J713" i="29"/>
  <c r="J714" i="29"/>
  <c r="J721" i="29"/>
  <c r="J759" i="29"/>
  <c r="J760" i="29"/>
  <c r="J767" i="29"/>
  <c r="J768" i="29"/>
  <c r="J775" i="29"/>
  <c r="J776" i="29"/>
  <c r="J783" i="29"/>
  <c r="J784" i="29"/>
  <c r="J791" i="29"/>
  <c r="J792" i="29"/>
  <c r="J799" i="29"/>
  <c r="J800" i="29"/>
  <c r="J807" i="29"/>
  <c r="J808" i="29"/>
  <c r="J815" i="29"/>
  <c r="J816" i="29"/>
  <c r="J823" i="29"/>
  <c r="J824" i="29"/>
  <c r="J831" i="29"/>
  <c r="J832" i="29"/>
  <c r="J839" i="29"/>
  <c r="J840" i="29"/>
  <c r="J847" i="29"/>
  <c r="J848" i="29"/>
  <c r="J855" i="29"/>
  <c r="J856" i="29"/>
  <c r="J859" i="29"/>
  <c r="J861" i="29"/>
  <c r="J863" i="29"/>
  <c r="J865" i="29"/>
  <c r="J867" i="29"/>
  <c r="J487" i="29"/>
  <c r="J574" i="29"/>
  <c r="J581" i="29"/>
  <c r="J606" i="29"/>
  <c r="J613" i="29"/>
  <c r="J638" i="29"/>
  <c r="J645" i="29"/>
  <c r="J654" i="29"/>
  <c r="J661" i="29"/>
  <c r="J670" i="29"/>
  <c r="J676" i="29"/>
  <c r="J677" i="29"/>
  <c r="J682" i="29"/>
  <c r="J683" i="29"/>
  <c r="J689" i="29"/>
  <c r="J702" i="29"/>
  <c r="J708" i="29"/>
  <c r="J715" i="29"/>
  <c r="J716" i="29"/>
  <c r="J753" i="29"/>
  <c r="J754" i="29"/>
  <c r="J761" i="29"/>
  <c r="J762" i="29"/>
  <c r="J769" i="29"/>
  <c r="J770" i="29"/>
  <c r="J777" i="29"/>
  <c r="J778" i="29"/>
  <c r="J785" i="29"/>
  <c r="J786" i="29"/>
  <c r="J793" i="29"/>
  <c r="J794" i="29"/>
  <c r="J801" i="29"/>
  <c r="J802" i="29"/>
  <c r="J809" i="29"/>
  <c r="J810" i="29"/>
  <c r="J817" i="29"/>
  <c r="J818" i="29"/>
  <c r="J825" i="29"/>
  <c r="J826" i="29"/>
  <c r="J833" i="29"/>
  <c r="J834" i="29"/>
  <c r="J841" i="29"/>
  <c r="J842" i="29"/>
  <c r="J849" i="29"/>
  <c r="J850" i="29"/>
  <c r="J857" i="29"/>
  <c r="J621" i="29"/>
  <c r="J681" i="29"/>
  <c r="J700" i="29"/>
  <c r="J709" i="29"/>
  <c r="J756" i="29"/>
  <c r="J763" i="29"/>
  <c r="J788" i="29"/>
  <c r="J795" i="29"/>
  <c r="J820" i="29"/>
  <c r="J827" i="29"/>
  <c r="J852" i="29"/>
  <c r="J864" i="29"/>
  <c r="J869" i="29"/>
  <c r="J873" i="29"/>
  <c r="J877" i="29"/>
  <c r="J881" i="29"/>
  <c r="J885" i="29"/>
  <c r="J889" i="29"/>
  <c r="J893" i="29"/>
  <c r="J897" i="29"/>
  <c r="J901" i="29"/>
  <c r="J934" i="29"/>
  <c r="J936" i="29"/>
  <c r="J938" i="29"/>
  <c r="J940" i="29"/>
  <c r="J942" i="29"/>
  <c r="J944" i="29"/>
  <c r="J946" i="29"/>
  <c r="J948" i="29"/>
  <c r="J950" i="29"/>
  <c r="J952" i="29"/>
  <c r="J954" i="29"/>
  <c r="J956" i="29"/>
  <c r="J958" i="29"/>
  <c r="J960" i="29"/>
  <c r="J962" i="29"/>
  <c r="J964" i="29"/>
  <c r="J966" i="29"/>
  <c r="J968" i="29"/>
  <c r="J970" i="29"/>
  <c r="J972" i="29"/>
  <c r="J974" i="29"/>
  <c r="J976" i="29"/>
  <c r="J978" i="29"/>
  <c r="J980" i="29"/>
  <c r="J982" i="29"/>
  <c r="J984" i="29"/>
  <c r="J986" i="29"/>
  <c r="J988" i="29"/>
  <c r="J990" i="29"/>
  <c r="J992" i="29"/>
  <c r="J994" i="29"/>
  <c r="J996" i="29"/>
  <c r="J998" i="29"/>
  <c r="J1000" i="29"/>
  <c r="J1002" i="29"/>
  <c r="J1004" i="29"/>
  <c r="J1006" i="29"/>
  <c r="J1008" i="29"/>
  <c r="J1010" i="29"/>
  <c r="J1012" i="29"/>
  <c r="J1014" i="29"/>
  <c r="J1016" i="29"/>
  <c r="J1018" i="29"/>
  <c r="J1020" i="29"/>
  <c r="J1022" i="29"/>
  <c r="J1024" i="29"/>
  <c r="J1026" i="29"/>
  <c r="J1028" i="29"/>
  <c r="J1030" i="29"/>
  <c r="J1032" i="29"/>
  <c r="J1034" i="29"/>
  <c r="J1036" i="29"/>
  <c r="J1038" i="29"/>
  <c r="J1040" i="29"/>
  <c r="J1042" i="29"/>
  <c r="J1044" i="29"/>
  <c r="J1046" i="29"/>
  <c r="J1048" i="29"/>
  <c r="J1050" i="29"/>
  <c r="J1052" i="29"/>
  <c r="J1054" i="29"/>
  <c r="J1056" i="29"/>
  <c r="J1058" i="29"/>
  <c r="J582" i="29"/>
  <c r="J649" i="29"/>
  <c r="J668" i="29"/>
  <c r="J701" i="29"/>
  <c r="J706" i="29"/>
  <c r="J710" i="29"/>
  <c r="J717" i="29"/>
  <c r="J764" i="29"/>
  <c r="J771" i="29"/>
  <c r="J796" i="29"/>
  <c r="J803" i="29"/>
  <c r="J828" i="29"/>
  <c r="J835" i="29"/>
  <c r="J862" i="29"/>
  <c r="J872" i="29"/>
  <c r="J876" i="29"/>
  <c r="J880" i="29"/>
  <c r="J884" i="29"/>
  <c r="J888" i="29"/>
  <c r="J892" i="29"/>
  <c r="J896" i="29"/>
  <c r="J900" i="29"/>
  <c r="J589" i="29"/>
  <c r="J675" i="29"/>
  <c r="J694" i="29"/>
  <c r="J755" i="29"/>
  <c r="J780" i="29"/>
  <c r="J787" i="29"/>
  <c r="J812" i="29"/>
  <c r="J819" i="29"/>
  <c r="J844" i="29"/>
  <c r="J851" i="29"/>
  <c r="J858" i="29"/>
  <c r="J866" i="29"/>
  <c r="J870" i="29"/>
  <c r="J874" i="29"/>
  <c r="J878" i="29"/>
  <c r="J882" i="29"/>
  <c r="J886" i="29"/>
  <c r="J890" i="29"/>
  <c r="J894" i="29"/>
  <c r="J898" i="29"/>
  <c r="J614" i="29"/>
  <c r="J658" i="29"/>
  <c r="J804" i="29"/>
  <c r="J860" i="29"/>
  <c r="J875" i="29"/>
  <c r="J891" i="29"/>
  <c r="J1059" i="29"/>
  <c r="J1060" i="29"/>
  <c r="J1067" i="29"/>
  <c r="J718" i="29"/>
  <c r="J779" i="29"/>
  <c r="J836" i="29"/>
  <c r="J871" i="29"/>
  <c r="J887" i="29"/>
  <c r="J933" i="29"/>
  <c r="J937" i="29"/>
  <c r="J941" i="29"/>
  <c r="J945" i="29"/>
  <c r="J949" i="29"/>
  <c r="J953" i="29"/>
  <c r="J957" i="29"/>
  <c r="J961" i="29"/>
  <c r="J965" i="29"/>
  <c r="J969" i="29"/>
  <c r="J973" i="29"/>
  <c r="J977" i="29"/>
  <c r="J981" i="29"/>
  <c r="J985" i="29"/>
  <c r="J989" i="29"/>
  <c r="J993" i="29"/>
  <c r="J997" i="29"/>
  <c r="J1001" i="29"/>
  <c r="J1005" i="29"/>
  <c r="J1009" i="29"/>
  <c r="J1013" i="29"/>
  <c r="J1017" i="29"/>
  <c r="J1021" i="29"/>
  <c r="J1025" i="29"/>
  <c r="J1029" i="29"/>
  <c r="J1033" i="29"/>
  <c r="J1037" i="29"/>
  <c r="J1041" i="29"/>
  <c r="J1045" i="29"/>
  <c r="J1049" i="29"/>
  <c r="J1053" i="29"/>
  <c r="J1057" i="29"/>
  <c r="J1061" i="29"/>
  <c r="J1062" i="29"/>
  <c r="J1068" i="29"/>
  <c r="J1070" i="29"/>
  <c r="J1072" i="29"/>
  <c r="J1074" i="29"/>
  <c r="J1076" i="29"/>
  <c r="J1078" i="29"/>
  <c r="J1080" i="29"/>
  <c r="J1114" i="29"/>
  <c r="J1116" i="29"/>
  <c r="J1118" i="29"/>
  <c r="J1120" i="29"/>
  <c r="J1122" i="29"/>
  <c r="J1124" i="29"/>
  <c r="J1126" i="29"/>
  <c r="J1128" i="29"/>
  <c r="J1130" i="29"/>
  <c r="J1132" i="29"/>
  <c r="J1134" i="29"/>
  <c r="J1136" i="29"/>
  <c r="J462" i="29"/>
  <c r="J669" i="29"/>
  <c r="J707" i="29"/>
  <c r="J811" i="29"/>
  <c r="J883" i="29"/>
  <c r="J899" i="29"/>
  <c r="J1063" i="29"/>
  <c r="J1064" i="29"/>
  <c r="J674" i="29"/>
  <c r="J843" i="29"/>
  <c r="J879" i="29"/>
  <c r="J935" i="29"/>
  <c r="J951" i="29"/>
  <c r="J967" i="29"/>
  <c r="J983" i="29"/>
  <c r="J999" i="29"/>
  <c r="J1015" i="29"/>
  <c r="J1031" i="29"/>
  <c r="J1047" i="29"/>
  <c r="J1065" i="29"/>
  <c r="J1071" i="29"/>
  <c r="J1079" i="29"/>
  <c r="J1117" i="29"/>
  <c r="J1125" i="29"/>
  <c r="J1133" i="29"/>
  <c r="J1140" i="29"/>
  <c r="J1144" i="29"/>
  <c r="J1148" i="29"/>
  <c r="J1152" i="29"/>
  <c r="J1156" i="29"/>
  <c r="J1160" i="29"/>
  <c r="J1164" i="29"/>
  <c r="J1168" i="29"/>
  <c r="J1172" i="29"/>
  <c r="J1176" i="29"/>
  <c r="J1180" i="29"/>
  <c r="J1184" i="29"/>
  <c r="J1188" i="29"/>
  <c r="J1192" i="29"/>
  <c r="J1196" i="29"/>
  <c r="J1200" i="29"/>
  <c r="J1204" i="29"/>
  <c r="J1208" i="29"/>
  <c r="J1212" i="29"/>
  <c r="J1216" i="29"/>
  <c r="J1220" i="29"/>
  <c r="J1224" i="29"/>
  <c r="J1228" i="29"/>
  <c r="J1232" i="29"/>
  <c r="J1236" i="29"/>
  <c r="J1240" i="29"/>
  <c r="J1244" i="29"/>
  <c r="J1248" i="29"/>
  <c r="J1252" i="29"/>
  <c r="J1256" i="29"/>
  <c r="J1260" i="29"/>
  <c r="J1294" i="29"/>
  <c r="J1298" i="29"/>
  <c r="J1302" i="29"/>
  <c r="J1306" i="29"/>
  <c r="J1310" i="29"/>
  <c r="J1314" i="29"/>
  <c r="J1318" i="29"/>
  <c r="J1322" i="29"/>
  <c r="J947" i="29"/>
  <c r="J963" i="29"/>
  <c r="J979" i="29"/>
  <c r="J995" i="29"/>
  <c r="J1011" i="29"/>
  <c r="J1027" i="29"/>
  <c r="J1043" i="29"/>
  <c r="J1066" i="29"/>
  <c r="J1069" i="29"/>
  <c r="J1077" i="29"/>
  <c r="J1115" i="29"/>
  <c r="J1123" i="29"/>
  <c r="J1131" i="29"/>
  <c r="J1139" i="29"/>
  <c r="J1143" i="29"/>
  <c r="J1147" i="29"/>
  <c r="J1151" i="29"/>
  <c r="J1155" i="29"/>
  <c r="J1159" i="29"/>
  <c r="J1163" i="29"/>
  <c r="J1167" i="29"/>
  <c r="J1171" i="29"/>
  <c r="J1175" i="29"/>
  <c r="J1179" i="29"/>
  <c r="J1183" i="29"/>
  <c r="J1187" i="29"/>
  <c r="J1191" i="29"/>
  <c r="J1195" i="29"/>
  <c r="J1199" i="29"/>
  <c r="J1203" i="29"/>
  <c r="J1207" i="29"/>
  <c r="J1211" i="29"/>
  <c r="J1215" i="29"/>
  <c r="J1219" i="29"/>
  <c r="J1223" i="29"/>
  <c r="J1227" i="29"/>
  <c r="J1231" i="29"/>
  <c r="J1235" i="29"/>
  <c r="J1239" i="29"/>
  <c r="J1243" i="29"/>
  <c r="J1247" i="29"/>
  <c r="J1251" i="29"/>
  <c r="J1255" i="29"/>
  <c r="J1259" i="29"/>
  <c r="J1293" i="29"/>
  <c r="J1297" i="29"/>
  <c r="J1301" i="29"/>
  <c r="J1305" i="29"/>
  <c r="J1309" i="29"/>
  <c r="J1313" i="29"/>
  <c r="J1317" i="29"/>
  <c r="J1321" i="29"/>
  <c r="J1325" i="29"/>
  <c r="J1329" i="29"/>
  <c r="J1333" i="29"/>
  <c r="J1337" i="29"/>
  <c r="J1341" i="29"/>
  <c r="J1345" i="29"/>
  <c r="J1349" i="29"/>
  <c r="J1353" i="29"/>
  <c r="J1357" i="29"/>
  <c r="J1361" i="29"/>
  <c r="J1365" i="29"/>
  <c r="J1369" i="29"/>
  <c r="J1373" i="29"/>
  <c r="J1377" i="29"/>
  <c r="J1381" i="29"/>
  <c r="J1385" i="29"/>
  <c r="J1388" i="29"/>
  <c r="J1389" i="29"/>
  <c r="J1396" i="29"/>
  <c r="J1397" i="29"/>
  <c r="J1404" i="29"/>
  <c r="J959" i="29"/>
  <c r="J991" i="29"/>
  <c r="J1023" i="29"/>
  <c r="J1055" i="29"/>
  <c r="J1075" i="29"/>
  <c r="J1113" i="29"/>
  <c r="J1129" i="29"/>
  <c r="J1138" i="29"/>
  <c r="J1146" i="29"/>
  <c r="J1154" i="29"/>
  <c r="J1162" i="29"/>
  <c r="J1170" i="29"/>
  <c r="J1178" i="29"/>
  <c r="J1186" i="29"/>
  <c r="J1194" i="29"/>
  <c r="J1202" i="29"/>
  <c r="J1210" i="29"/>
  <c r="J1218" i="29"/>
  <c r="J1226" i="29"/>
  <c r="J1234" i="29"/>
  <c r="J1242" i="29"/>
  <c r="J1250" i="29"/>
  <c r="J1258" i="29"/>
  <c r="J1296" i="29"/>
  <c r="J1304" i="29"/>
  <c r="J1312" i="29"/>
  <c r="J1320" i="29"/>
  <c r="J1326" i="29"/>
  <c r="J1328" i="29"/>
  <c r="J1335" i="29"/>
  <c r="J1342" i="29"/>
  <c r="J1344" i="29"/>
  <c r="J1351" i="29"/>
  <c r="J1358" i="29"/>
  <c r="J1360" i="29"/>
  <c r="J1367" i="29"/>
  <c r="J1374" i="29"/>
  <c r="J1376" i="29"/>
  <c r="J1383" i="29"/>
  <c r="J1390" i="29"/>
  <c r="J1403" i="29"/>
  <c r="J1406" i="29"/>
  <c r="J1407" i="29"/>
  <c r="J1414" i="29"/>
  <c r="J1415" i="29"/>
  <c r="J1422" i="29"/>
  <c r="J1423" i="29"/>
  <c r="J1430" i="29"/>
  <c r="J1431" i="29"/>
  <c r="J1438" i="29"/>
  <c r="J1439" i="29"/>
  <c r="J868" i="29"/>
  <c r="J943" i="29"/>
  <c r="J975" i="29"/>
  <c r="J1007" i="29"/>
  <c r="J1039" i="29"/>
  <c r="J1121" i="29"/>
  <c r="J1142" i="29"/>
  <c r="J1150" i="29"/>
  <c r="J1158" i="29"/>
  <c r="J1166" i="29"/>
  <c r="J1174" i="29"/>
  <c r="J1182" i="29"/>
  <c r="J1190" i="29"/>
  <c r="J1198" i="29"/>
  <c r="J1206" i="29"/>
  <c r="J1214" i="29"/>
  <c r="J1222" i="29"/>
  <c r="J1230" i="29"/>
  <c r="J1238" i="29"/>
  <c r="J1246" i="29"/>
  <c r="J1254" i="29"/>
  <c r="J1300" i="29"/>
  <c r="J1308" i="29"/>
  <c r="J1316" i="29"/>
  <c r="J1327" i="29"/>
  <c r="J1334" i="29"/>
  <c r="J1336" i="29"/>
  <c r="J1343" i="29"/>
  <c r="J1350" i="29"/>
  <c r="J1352" i="29"/>
  <c r="J1359" i="29"/>
  <c r="J1366" i="29"/>
  <c r="J1368" i="29"/>
  <c r="J1375" i="29"/>
  <c r="J1382" i="29"/>
  <c r="J1384" i="29"/>
  <c r="J1387" i="29"/>
  <c r="J1393" i="29"/>
  <c r="J1394" i="29"/>
  <c r="J1399" i="29"/>
  <c r="J1400" i="29"/>
  <c r="J1410" i="29"/>
  <c r="J1411" i="29"/>
  <c r="J1418" i="29"/>
  <c r="J1419" i="29"/>
  <c r="J1426" i="29"/>
  <c r="J1427" i="29"/>
  <c r="J1434" i="29"/>
  <c r="J1435" i="29"/>
  <c r="J772" i="29"/>
  <c r="J955" i="29"/>
  <c r="J987" i="29"/>
  <c r="J1019" i="29"/>
  <c r="J1051" i="29"/>
  <c r="J1073" i="29"/>
  <c r="J1127" i="29"/>
  <c r="J1137" i="29"/>
  <c r="J1145" i="29"/>
  <c r="J1153" i="29"/>
  <c r="J1161" i="29"/>
  <c r="J1169" i="29"/>
  <c r="J1177" i="29"/>
  <c r="J1185" i="29"/>
  <c r="J1193" i="29"/>
  <c r="J1201" i="29"/>
  <c r="J1209" i="29"/>
  <c r="J1217" i="29"/>
  <c r="J1225" i="29"/>
  <c r="J1233" i="29"/>
  <c r="J1241" i="29"/>
  <c r="J1249" i="29"/>
  <c r="J1257" i="29"/>
  <c r="J1295" i="29"/>
  <c r="J1303" i="29"/>
  <c r="J1311" i="29"/>
  <c r="J1319" i="29"/>
  <c r="J1324" i="29"/>
  <c r="J1331" i="29"/>
  <c r="J1338" i="29"/>
  <c r="J1340" i="29"/>
  <c r="J1347" i="29"/>
  <c r="J1354" i="29"/>
  <c r="J1356" i="29"/>
  <c r="J1363" i="29"/>
  <c r="J1370" i="29"/>
  <c r="J1372" i="29"/>
  <c r="J1379" i="29"/>
  <c r="J1386" i="29"/>
  <c r="J1391" i="29"/>
  <c r="J1392" i="29"/>
  <c r="J1398" i="29"/>
  <c r="J1405" i="29"/>
  <c r="J1412" i="29"/>
  <c r="J1413" i="29"/>
  <c r="J1420" i="29"/>
  <c r="J1421" i="29"/>
  <c r="J1428" i="29"/>
  <c r="J1429" i="29"/>
  <c r="J1436" i="29"/>
  <c r="J1437" i="29"/>
  <c r="J1474" i="29"/>
  <c r="J1476" i="29"/>
  <c r="J1478" i="29"/>
  <c r="J1480" i="29"/>
  <c r="J1482" i="29"/>
  <c r="J1484" i="29"/>
  <c r="J1486" i="29"/>
  <c r="J1488" i="29"/>
  <c r="J1490" i="29"/>
  <c r="J1492" i="29"/>
  <c r="J1494" i="29"/>
  <c r="J1496" i="29"/>
  <c r="J1498" i="29"/>
  <c r="J1500" i="29"/>
  <c r="J1502" i="29"/>
  <c r="J1504" i="29"/>
  <c r="J1506" i="29"/>
  <c r="J1508" i="29"/>
  <c r="J1510" i="29"/>
  <c r="J1512" i="29"/>
  <c r="J1514" i="29"/>
  <c r="J1516" i="29"/>
  <c r="J1518" i="29"/>
  <c r="J1520" i="29"/>
  <c r="J1522" i="29"/>
  <c r="J1524" i="29"/>
  <c r="J1526" i="29"/>
  <c r="J1528" i="29"/>
  <c r="J1530" i="29"/>
  <c r="J1532" i="29"/>
  <c r="J1534" i="29"/>
  <c r="J1536" i="29"/>
  <c r="J1538" i="29"/>
  <c r="J1540" i="29"/>
  <c r="J1542" i="29"/>
  <c r="J1544" i="29"/>
  <c r="J1546" i="29"/>
  <c r="J1548" i="29"/>
  <c r="J1550" i="29"/>
  <c r="J1552" i="29"/>
  <c r="J1554" i="29"/>
  <c r="J1556" i="29"/>
  <c r="J1558" i="29"/>
  <c r="J1560" i="29"/>
  <c r="J1562" i="29"/>
  <c r="J1564" i="29"/>
  <c r="J1566" i="29"/>
  <c r="J1568" i="29"/>
  <c r="J1570" i="29"/>
  <c r="J1572" i="29"/>
  <c r="J1574" i="29"/>
  <c r="J1576" i="29"/>
  <c r="J1578" i="29"/>
  <c r="J1580" i="29"/>
  <c r="J1582" i="29"/>
  <c r="J1584" i="29"/>
  <c r="J1586" i="29"/>
  <c r="J1588" i="29"/>
  <c r="J1590" i="29"/>
  <c r="J1592" i="29"/>
  <c r="J1594" i="29"/>
  <c r="J1596" i="29"/>
  <c r="J1598" i="29"/>
  <c r="J1600" i="29"/>
  <c r="J1602" i="29"/>
  <c r="J1604" i="29"/>
  <c r="J1606" i="29"/>
  <c r="J1608" i="29"/>
  <c r="J1610" i="29"/>
  <c r="J1612" i="29"/>
  <c r="J1614" i="29"/>
  <c r="J1616" i="29"/>
  <c r="J1618" i="29"/>
  <c r="J1620" i="29"/>
  <c r="N33" i="29"/>
  <c r="N40" i="29"/>
  <c r="N41" i="29"/>
  <c r="N48" i="29"/>
  <c r="N49" i="29"/>
  <c r="N51" i="29"/>
  <c r="N53" i="29"/>
  <c r="N55" i="29"/>
  <c r="N57" i="29"/>
  <c r="N59" i="29"/>
  <c r="N61" i="29"/>
  <c r="N63" i="29"/>
  <c r="N65" i="29"/>
  <c r="N34" i="29"/>
  <c r="N35" i="29"/>
  <c r="N42" i="29"/>
  <c r="N43" i="29"/>
  <c r="N37" i="29"/>
  <c r="N44" i="29"/>
  <c r="N52" i="29"/>
  <c r="N56" i="29"/>
  <c r="N60" i="29"/>
  <c r="N64" i="29"/>
  <c r="N67" i="29"/>
  <c r="N68" i="29"/>
  <c r="N75" i="29"/>
  <c r="N76" i="29"/>
  <c r="N83" i="29"/>
  <c r="N84" i="29"/>
  <c r="N39" i="29"/>
  <c r="N46" i="29"/>
  <c r="N69" i="29"/>
  <c r="N70" i="29"/>
  <c r="N77" i="29"/>
  <c r="N78" i="29"/>
  <c r="N85" i="29"/>
  <c r="N86" i="29"/>
  <c r="N90" i="29"/>
  <c r="N92" i="29"/>
  <c r="N94" i="29"/>
  <c r="N96" i="29"/>
  <c r="N98" i="29"/>
  <c r="N100" i="29"/>
  <c r="N102" i="29"/>
  <c r="N104" i="29"/>
  <c r="N106" i="29"/>
  <c r="N108" i="29"/>
  <c r="N110" i="29"/>
  <c r="N112" i="29"/>
  <c r="N114" i="29"/>
  <c r="N116" i="29"/>
  <c r="N118" i="29"/>
  <c r="N120" i="29"/>
  <c r="N122" i="29"/>
  <c r="N124" i="29"/>
  <c r="N126" i="29"/>
  <c r="N128" i="29"/>
  <c r="N130" i="29"/>
  <c r="N132" i="29"/>
  <c r="N134" i="29"/>
  <c r="N136" i="29"/>
  <c r="N138" i="29"/>
  <c r="N140" i="29"/>
  <c r="N142" i="29"/>
  <c r="N144" i="29"/>
  <c r="N146" i="29"/>
  <c r="N148" i="29"/>
  <c r="N150" i="29"/>
  <c r="N152" i="29"/>
  <c r="N154" i="29"/>
  <c r="N156" i="29"/>
  <c r="N36" i="29"/>
  <c r="N50" i="29"/>
  <c r="N58" i="29"/>
  <c r="N71" i="29"/>
  <c r="N80" i="29"/>
  <c r="N87" i="29"/>
  <c r="N47" i="29"/>
  <c r="N66" i="29"/>
  <c r="N73" i="29"/>
  <c r="N82" i="29"/>
  <c r="N89" i="29"/>
  <c r="N93" i="29"/>
  <c r="N97" i="29"/>
  <c r="N101" i="29"/>
  <c r="N105" i="29"/>
  <c r="N109" i="29"/>
  <c r="N113" i="29"/>
  <c r="N117" i="29"/>
  <c r="N121" i="29"/>
  <c r="N125" i="29"/>
  <c r="N129" i="29"/>
  <c r="N133" i="29"/>
  <c r="N137" i="29"/>
  <c r="N141" i="29"/>
  <c r="N145" i="29"/>
  <c r="N149" i="29"/>
  <c r="N157" i="29"/>
  <c r="N159" i="29"/>
  <c r="N161" i="29"/>
  <c r="N163" i="29"/>
  <c r="N165" i="29"/>
  <c r="N167" i="29"/>
  <c r="N169" i="29"/>
  <c r="N171" i="29"/>
  <c r="N173" i="29"/>
  <c r="N175" i="29"/>
  <c r="N177" i="29"/>
  <c r="N179" i="29"/>
  <c r="N181" i="29"/>
  <c r="N95" i="29"/>
  <c r="N45" i="29"/>
  <c r="N62" i="29"/>
  <c r="N38" i="29"/>
  <c r="N74" i="29"/>
  <c r="N81" i="29"/>
  <c r="N91" i="29"/>
  <c r="N99" i="29"/>
  <c r="N107" i="29"/>
  <c r="N115" i="29"/>
  <c r="N123" i="29"/>
  <c r="N131" i="29"/>
  <c r="N139" i="29"/>
  <c r="N147" i="29"/>
  <c r="N160" i="29"/>
  <c r="N164" i="29"/>
  <c r="N168" i="29"/>
  <c r="N172" i="29"/>
  <c r="N176" i="29"/>
  <c r="N180" i="29"/>
  <c r="N88" i="29"/>
  <c r="N103" i="29"/>
  <c r="N135" i="29"/>
  <c r="N153" i="29"/>
  <c r="N155" i="29"/>
  <c r="N166" i="29"/>
  <c r="N54" i="29"/>
  <c r="N72" i="29"/>
  <c r="N111" i="29"/>
  <c r="N143" i="29"/>
  <c r="N170" i="29"/>
  <c r="N79" i="29"/>
  <c r="N178" i="29"/>
  <c r="N217" i="29"/>
  <c r="N219" i="29"/>
  <c r="N221" i="29"/>
  <c r="N223" i="29"/>
  <c r="N225" i="29"/>
  <c r="N227" i="29"/>
  <c r="N229" i="29"/>
  <c r="N231" i="29"/>
  <c r="N233" i="29"/>
  <c r="N235" i="29"/>
  <c r="N237" i="29"/>
  <c r="N239" i="29"/>
  <c r="N241" i="29"/>
  <c r="N243" i="29"/>
  <c r="N245" i="29"/>
  <c r="N247" i="29"/>
  <c r="N249" i="29"/>
  <c r="N251" i="29"/>
  <c r="N253" i="29"/>
  <c r="N255" i="29"/>
  <c r="N257" i="29"/>
  <c r="N259" i="29"/>
  <c r="N261" i="29"/>
  <c r="N263" i="29"/>
  <c r="N265" i="29"/>
  <c r="N267" i="29"/>
  <c r="N269" i="29"/>
  <c r="N271" i="29"/>
  <c r="N273" i="29"/>
  <c r="N275" i="29"/>
  <c r="N277" i="29"/>
  <c r="N279" i="29"/>
  <c r="N281" i="29"/>
  <c r="N283" i="29"/>
  <c r="N285" i="29"/>
  <c r="N287" i="29"/>
  <c r="N289" i="29"/>
  <c r="N291" i="29"/>
  <c r="N119" i="29"/>
  <c r="N158" i="29"/>
  <c r="N174" i="29"/>
  <c r="N127" i="29"/>
  <c r="N162" i="29"/>
  <c r="N213" i="29"/>
  <c r="N214" i="29"/>
  <c r="N218" i="29"/>
  <c r="N220" i="29"/>
  <c r="N222" i="29"/>
  <c r="N224" i="29"/>
  <c r="N226" i="29"/>
  <c r="N228" i="29"/>
  <c r="N230" i="29"/>
  <c r="N232" i="29"/>
  <c r="N234" i="29"/>
  <c r="N236" i="29"/>
  <c r="N238" i="29"/>
  <c r="N240" i="29"/>
  <c r="N242" i="29"/>
  <c r="N244" i="29"/>
  <c r="N246" i="29"/>
  <c r="N248" i="29"/>
  <c r="N250" i="29"/>
  <c r="N252" i="29"/>
  <c r="N254" i="29"/>
  <c r="N256" i="29"/>
  <c r="N258" i="29"/>
  <c r="N260" i="29"/>
  <c r="N262" i="29"/>
  <c r="N264" i="29"/>
  <c r="N266" i="29"/>
  <c r="N268" i="29"/>
  <c r="N270" i="29"/>
  <c r="N272" i="29"/>
  <c r="N274" i="29"/>
  <c r="N276" i="29"/>
  <c r="N278" i="29"/>
  <c r="N280" i="29"/>
  <c r="N282" i="29"/>
  <c r="N284" i="29"/>
  <c r="N286" i="29"/>
  <c r="N288" i="29"/>
  <c r="N290" i="29"/>
  <c r="N292" i="29"/>
  <c r="N151" i="29"/>
  <c r="N216" i="29"/>
  <c r="N297" i="29"/>
  <c r="N298" i="29"/>
  <c r="N305" i="29"/>
  <c r="N306" i="29"/>
  <c r="N313" i="29"/>
  <c r="N314" i="29"/>
  <c r="N321" i="29"/>
  <c r="N322" i="29"/>
  <c r="N329" i="29"/>
  <c r="N330" i="29"/>
  <c r="N337" i="29"/>
  <c r="N338" i="29"/>
  <c r="N345" i="29"/>
  <c r="N346" i="29"/>
  <c r="N353" i="29"/>
  <c r="N354" i="29"/>
  <c r="N361" i="29"/>
  <c r="N393" i="29"/>
  <c r="N395" i="29"/>
  <c r="N397" i="29"/>
  <c r="N399" i="29"/>
  <c r="N401" i="29"/>
  <c r="N403" i="29"/>
  <c r="N405" i="29"/>
  <c r="N407" i="29"/>
  <c r="N409" i="29"/>
  <c r="N411" i="29"/>
  <c r="N413" i="29"/>
  <c r="N415" i="29"/>
  <c r="N417" i="29"/>
  <c r="N419" i="29"/>
  <c r="N421" i="29"/>
  <c r="N423" i="29"/>
  <c r="N425" i="29"/>
  <c r="N427" i="29"/>
  <c r="N429" i="29"/>
  <c r="N431" i="29"/>
  <c r="N433" i="29"/>
  <c r="N435" i="29"/>
  <c r="N437" i="29"/>
  <c r="N439" i="29"/>
  <c r="N441" i="29"/>
  <c r="N443" i="29"/>
  <c r="N445" i="29"/>
  <c r="N447" i="29"/>
  <c r="N449" i="29"/>
  <c r="N451" i="29"/>
  <c r="N453" i="29"/>
  <c r="N455" i="29"/>
  <c r="N457" i="29"/>
  <c r="N459" i="29"/>
  <c r="N299" i="29"/>
  <c r="N300" i="29"/>
  <c r="N307" i="29"/>
  <c r="N308" i="29"/>
  <c r="N315" i="29"/>
  <c r="N316" i="29"/>
  <c r="N323" i="29"/>
  <c r="N324" i="29"/>
  <c r="N331" i="29"/>
  <c r="N332" i="29"/>
  <c r="N339" i="29"/>
  <c r="N340" i="29"/>
  <c r="N347" i="29"/>
  <c r="N348" i="29"/>
  <c r="N355" i="29"/>
  <c r="N356" i="29"/>
  <c r="N182" i="29"/>
  <c r="N293" i="29"/>
  <c r="N294" i="29"/>
  <c r="N301" i="29"/>
  <c r="N302" i="29"/>
  <c r="N309" i="29"/>
  <c r="N310" i="29"/>
  <c r="N317" i="29"/>
  <c r="N318" i="29"/>
  <c r="N325" i="29"/>
  <c r="N326" i="29"/>
  <c r="N333" i="29"/>
  <c r="N334" i="29"/>
  <c r="N341" i="29"/>
  <c r="N342" i="29"/>
  <c r="N349" i="29"/>
  <c r="N350" i="29"/>
  <c r="N357" i="29"/>
  <c r="N358" i="29"/>
  <c r="N394" i="29"/>
  <c r="N396" i="29"/>
  <c r="N398" i="29"/>
  <c r="N400" i="29"/>
  <c r="N402" i="29"/>
  <c r="N404" i="29"/>
  <c r="N406" i="29"/>
  <c r="N408" i="29"/>
  <c r="N410" i="29"/>
  <c r="N412" i="29"/>
  <c r="N414" i="29"/>
  <c r="N416" i="29"/>
  <c r="N418" i="29"/>
  <c r="N420" i="29"/>
  <c r="N422" i="29"/>
  <c r="N424" i="29"/>
  <c r="N426" i="29"/>
  <c r="N428" i="29"/>
  <c r="N430" i="29"/>
  <c r="N432" i="29"/>
  <c r="N434" i="29"/>
  <c r="N436" i="29"/>
  <c r="N438" i="29"/>
  <c r="N440" i="29"/>
  <c r="N442" i="29"/>
  <c r="N444" i="29"/>
  <c r="N446" i="29"/>
  <c r="N448" i="29"/>
  <c r="N450" i="29"/>
  <c r="N452" i="29"/>
  <c r="N296" i="29"/>
  <c r="N303" i="29"/>
  <c r="N328" i="29"/>
  <c r="N335" i="29"/>
  <c r="N360" i="29"/>
  <c r="N454" i="29"/>
  <c r="N458" i="29"/>
  <c r="N461" i="29"/>
  <c r="N462" i="29"/>
  <c r="N469" i="29"/>
  <c r="N470" i="29"/>
  <c r="N477" i="29"/>
  <c r="N478" i="29"/>
  <c r="N485" i="29"/>
  <c r="N486" i="29"/>
  <c r="N493" i="29"/>
  <c r="N494" i="29"/>
  <c r="N501" i="29"/>
  <c r="N502" i="29"/>
  <c r="N504" i="29"/>
  <c r="N506" i="29"/>
  <c r="N508" i="29"/>
  <c r="N510" i="29"/>
  <c r="N512" i="29"/>
  <c r="N514" i="29"/>
  <c r="N516" i="29"/>
  <c r="N518" i="29"/>
  <c r="N520" i="29"/>
  <c r="N522" i="29"/>
  <c r="N524" i="29"/>
  <c r="N526" i="29"/>
  <c r="N528" i="29"/>
  <c r="N530" i="29"/>
  <c r="N532" i="29"/>
  <c r="N534" i="29"/>
  <c r="N536" i="29"/>
  <c r="N538" i="29"/>
  <c r="N540" i="29"/>
  <c r="N304" i="29"/>
  <c r="N311" i="29"/>
  <c r="N336" i="29"/>
  <c r="N343" i="29"/>
  <c r="N463" i="29"/>
  <c r="N464" i="29"/>
  <c r="N471" i="29"/>
  <c r="N472" i="29"/>
  <c r="N479" i="29"/>
  <c r="N480" i="29"/>
  <c r="N487" i="29"/>
  <c r="N488" i="29"/>
  <c r="N495" i="29"/>
  <c r="N496" i="29"/>
  <c r="N312" i="29"/>
  <c r="N319" i="29"/>
  <c r="N344" i="29"/>
  <c r="N351" i="29"/>
  <c r="N456" i="29"/>
  <c r="N465" i="29"/>
  <c r="N466" i="29"/>
  <c r="N473" i="29"/>
  <c r="N474" i="29"/>
  <c r="N481" i="29"/>
  <c r="N482" i="29"/>
  <c r="N489" i="29"/>
  <c r="N490" i="29"/>
  <c r="N497" i="29"/>
  <c r="N498" i="29"/>
  <c r="N503" i="29"/>
  <c r="N505" i="29"/>
  <c r="N507" i="29"/>
  <c r="N509" i="29"/>
  <c r="N511" i="29"/>
  <c r="N513" i="29"/>
  <c r="N515" i="29"/>
  <c r="N517" i="29"/>
  <c r="N519" i="29"/>
  <c r="N521" i="29"/>
  <c r="N523" i="29"/>
  <c r="N525" i="29"/>
  <c r="N527" i="29"/>
  <c r="N529" i="29"/>
  <c r="N531" i="29"/>
  <c r="N533" i="29"/>
  <c r="N535" i="29"/>
  <c r="N537" i="29"/>
  <c r="N539" i="29"/>
  <c r="N541" i="29"/>
  <c r="N215" i="29"/>
  <c r="N295" i="29"/>
  <c r="N352" i="29"/>
  <c r="N484" i="29"/>
  <c r="N491" i="29"/>
  <c r="N573" i="29"/>
  <c r="N580" i="29"/>
  <c r="N581" i="29"/>
  <c r="N588" i="29"/>
  <c r="N589" i="29"/>
  <c r="N596" i="29"/>
  <c r="N597" i="29"/>
  <c r="N604" i="29"/>
  <c r="N605" i="29"/>
  <c r="N612" i="29"/>
  <c r="N613" i="29"/>
  <c r="N620" i="29"/>
  <c r="N621" i="29"/>
  <c r="N628" i="29"/>
  <c r="N629" i="29"/>
  <c r="N636" i="29"/>
  <c r="N637" i="29"/>
  <c r="N644" i="29"/>
  <c r="N645" i="29"/>
  <c r="N652" i="29"/>
  <c r="N653" i="29"/>
  <c r="N660" i="29"/>
  <c r="N661" i="29"/>
  <c r="N668" i="29"/>
  <c r="N669" i="29"/>
  <c r="N676" i="29"/>
  <c r="N677" i="29"/>
  <c r="N684" i="29"/>
  <c r="N685" i="29"/>
  <c r="N692" i="29"/>
  <c r="N693" i="29"/>
  <c r="N700" i="29"/>
  <c r="N701" i="29"/>
  <c r="N327" i="29"/>
  <c r="N460" i="29"/>
  <c r="N467" i="29"/>
  <c r="N492" i="29"/>
  <c r="N499" i="29"/>
  <c r="N574" i="29"/>
  <c r="N575" i="29"/>
  <c r="N582" i="29"/>
  <c r="N583" i="29"/>
  <c r="N590" i="29"/>
  <c r="N591" i="29"/>
  <c r="N598" i="29"/>
  <c r="N599" i="29"/>
  <c r="N606" i="29"/>
  <c r="N607" i="29"/>
  <c r="N614" i="29"/>
  <c r="N615" i="29"/>
  <c r="N622" i="29"/>
  <c r="N623" i="29"/>
  <c r="N630" i="29"/>
  <c r="N631" i="29"/>
  <c r="N638" i="29"/>
  <c r="N639" i="29"/>
  <c r="N359" i="29"/>
  <c r="N468" i="29"/>
  <c r="N475" i="29"/>
  <c r="N500" i="29"/>
  <c r="N576" i="29"/>
  <c r="N577" i="29"/>
  <c r="N584" i="29"/>
  <c r="N585" i="29"/>
  <c r="N592" i="29"/>
  <c r="N593" i="29"/>
  <c r="N600" i="29"/>
  <c r="N601" i="29"/>
  <c r="N608" i="29"/>
  <c r="N609" i="29"/>
  <c r="N616" i="29"/>
  <c r="N617" i="29"/>
  <c r="N624" i="29"/>
  <c r="N625" i="29"/>
  <c r="N632" i="29"/>
  <c r="N633" i="29"/>
  <c r="N640" i="29"/>
  <c r="N641" i="29"/>
  <c r="N648" i="29"/>
  <c r="N649" i="29"/>
  <c r="N656" i="29"/>
  <c r="N657" i="29"/>
  <c r="N579" i="29"/>
  <c r="N586" i="29"/>
  <c r="N611" i="29"/>
  <c r="N618" i="29"/>
  <c r="N643" i="29"/>
  <c r="N651" i="29"/>
  <c r="N658" i="29"/>
  <c r="N675" i="29"/>
  <c r="N681" i="29"/>
  <c r="N682" i="29"/>
  <c r="N687" i="29"/>
  <c r="N688" i="29"/>
  <c r="N694" i="29"/>
  <c r="N707" i="29"/>
  <c r="N708" i="29"/>
  <c r="N709" i="29"/>
  <c r="N716" i="29"/>
  <c r="N717" i="29"/>
  <c r="N754" i="29"/>
  <c r="N755" i="29"/>
  <c r="N762" i="29"/>
  <c r="N763" i="29"/>
  <c r="N770" i="29"/>
  <c r="N771" i="29"/>
  <c r="N778" i="29"/>
  <c r="N779" i="29"/>
  <c r="N786" i="29"/>
  <c r="N787" i="29"/>
  <c r="N794" i="29"/>
  <c r="N795" i="29"/>
  <c r="N802" i="29"/>
  <c r="N803" i="29"/>
  <c r="N810" i="29"/>
  <c r="N811" i="29"/>
  <c r="N818" i="29"/>
  <c r="N819" i="29"/>
  <c r="N826" i="29"/>
  <c r="N827" i="29"/>
  <c r="N834" i="29"/>
  <c r="N835" i="29"/>
  <c r="N842" i="29"/>
  <c r="N843" i="29"/>
  <c r="N850" i="29"/>
  <c r="N851" i="29"/>
  <c r="N320" i="29"/>
  <c r="N483" i="29"/>
  <c r="N587" i="29"/>
  <c r="N594" i="29"/>
  <c r="N619" i="29"/>
  <c r="N626" i="29"/>
  <c r="N646" i="29"/>
  <c r="N655" i="29"/>
  <c r="N662" i="29"/>
  <c r="N667" i="29"/>
  <c r="N673" i="29"/>
  <c r="N674" i="29"/>
  <c r="N679" i="29"/>
  <c r="N680" i="29"/>
  <c r="N686" i="29"/>
  <c r="N699" i="29"/>
  <c r="N705" i="29"/>
  <c r="N706" i="29"/>
  <c r="N710" i="29"/>
  <c r="N711" i="29"/>
  <c r="N718" i="29"/>
  <c r="N719" i="29"/>
  <c r="N756" i="29"/>
  <c r="N757" i="29"/>
  <c r="N764" i="29"/>
  <c r="N765" i="29"/>
  <c r="N772" i="29"/>
  <c r="N773" i="29"/>
  <c r="N780" i="29"/>
  <c r="N781" i="29"/>
  <c r="N788" i="29"/>
  <c r="N789" i="29"/>
  <c r="N796" i="29"/>
  <c r="N797" i="29"/>
  <c r="N804" i="29"/>
  <c r="N805" i="29"/>
  <c r="N812" i="29"/>
  <c r="N813" i="29"/>
  <c r="N820" i="29"/>
  <c r="N821" i="29"/>
  <c r="N828" i="29"/>
  <c r="N829" i="29"/>
  <c r="N836" i="29"/>
  <c r="N837" i="29"/>
  <c r="N844" i="29"/>
  <c r="N845" i="29"/>
  <c r="N852" i="29"/>
  <c r="N853" i="29"/>
  <c r="N858" i="29"/>
  <c r="N860" i="29"/>
  <c r="N862" i="29"/>
  <c r="N864" i="29"/>
  <c r="N866" i="29"/>
  <c r="N868" i="29"/>
  <c r="N595" i="29"/>
  <c r="N602" i="29"/>
  <c r="N627" i="29"/>
  <c r="N634" i="29"/>
  <c r="N650" i="29"/>
  <c r="N659" i="29"/>
  <c r="N665" i="29"/>
  <c r="N666" i="29"/>
  <c r="N671" i="29"/>
  <c r="N672" i="29"/>
  <c r="N678" i="29"/>
  <c r="N691" i="29"/>
  <c r="N697" i="29"/>
  <c r="N698" i="29"/>
  <c r="N703" i="29"/>
  <c r="N704" i="29"/>
  <c r="N712" i="29"/>
  <c r="N713" i="29"/>
  <c r="N720" i="29"/>
  <c r="N721" i="29"/>
  <c r="N758" i="29"/>
  <c r="N759" i="29"/>
  <c r="N766" i="29"/>
  <c r="N767" i="29"/>
  <c r="N774" i="29"/>
  <c r="N775" i="29"/>
  <c r="N782" i="29"/>
  <c r="N783" i="29"/>
  <c r="N790" i="29"/>
  <c r="N791" i="29"/>
  <c r="N798" i="29"/>
  <c r="N799" i="29"/>
  <c r="N806" i="29"/>
  <c r="N807" i="29"/>
  <c r="N814" i="29"/>
  <c r="N815" i="29"/>
  <c r="N822" i="29"/>
  <c r="N823" i="29"/>
  <c r="N830" i="29"/>
  <c r="N831" i="29"/>
  <c r="N838" i="29"/>
  <c r="N839" i="29"/>
  <c r="N846" i="29"/>
  <c r="N847" i="29"/>
  <c r="N854" i="29"/>
  <c r="N855" i="29"/>
  <c r="N578" i="29"/>
  <c r="N635" i="29"/>
  <c r="N647" i="29"/>
  <c r="N654" i="29"/>
  <c r="N690" i="29"/>
  <c r="N695" i="29"/>
  <c r="N777" i="29"/>
  <c r="N784" i="29"/>
  <c r="N809" i="29"/>
  <c r="N816" i="29"/>
  <c r="N841" i="29"/>
  <c r="N848" i="29"/>
  <c r="N861" i="29"/>
  <c r="N870" i="29"/>
  <c r="N874" i="29"/>
  <c r="N878" i="29"/>
  <c r="N882" i="29"/>
  <c r="N886" i="29"/>
  <c r="N890" i="29"/>
  <c r="N894" i="29"/>
  <c r="N898" i="29"/>
  <c r="N933" i="29"/>
  <c r="N935" i="29"/>
  <c r="N937" i="29"/>
  <c r="N939" i="29"/>
  <c r="N941" i="29"/>
  <c r="N943" i="29"/>
  <c r="N945" i="29"/>
  <c r="N947" i="29"/>
  <c r="N949" i="29"/>
  <c r="N951" i="29"/>
  <c r="N953" i="29"/>
  <c r="N955" i="29"/>
  <c r="N957" i="29"/>
  <c r="N959" i="29"/>
  <c r="N961" i="29"/>
  <c r="N963" i="29"/>
  <c r="N965" i="29"/>
  <c r="N967" i="29"/>
  <c r="N969" i="29"/>
  <c r="N971" i="29"/>
  <c r="N973" i="29"/>
  <c r="N975" i="29"/>
  <c r="N977" i="29"/>
  <c r="N979" i="29"/>
  <c r="N981" i="29"/>
  <c r="N983" i="29"/>
  <c r="N985" i="29"/>
  <c r="N987" i="29"/>
  <c r="N989" i="29"/>
  <c r="N991" i="29"/>
  <c r="N993" i="29"/>
  <c r="N995" i="29"/>
  <c r="N997" i="29"/>
  <c r="N999" i="29"/>
  <c r="N1001" i="29"/>
  <c r="N1003" i="29"/>
  <c r="N1005" i="29"/>
  <c r="N1007" i="29"/>
  <c r="N1009" i="29"/>
  <c r="N1011" i="29"/>
  <c r="N1013" i="29"/>
  <c r="N1015" i="29"/>
  <c r="N1017" i="29"/>
  <c r="N1019" i="29"/>
  <c r="N1021" i="29"/>
  <c r="N1023" i="29"/>
  <c r="N1025" i="29"/>
  <c r="N1027" i="29"/>
  <c r="N1029" i="29"/>
  <c r="N1031" i="29"/>
  <c r="N1033" i="29"/>
  <c r="N1035" i="29"/>
  <c r="N1037" i="29"/>
  <c r="N1039" i="29"/>
  <c r="N1041" i="29"/>
  <c r="N1043" i="29"/>
  <c r="N1045" i="29"/>
  <c r="N1047" i="29"/>
  <c r="N1049" i="29"/>
  <c r="N1051" i="29"/>
  <c r="N1053" i="29"/>
  <c r="N1055" i="29"/>
  <c r="N1057" i="29"/>
  <c r="N610" i="29"/>
  <c r="N663" i="29"/>
  <c r="N696" i="29"/>
  <c r="N753" i="29"/>
  <c r="N760" i="29"/>
  <c r="N785" i="29"/>
  <c r="N792" i="29"/>
  <c r="N817" i="29"/>
  <c r="N824" i="29"/>
  <c r="N849" i="29"/>
  <c r="N856" i="29"/>
  <c r="N859" i="29"/>
  <c r="N867" i="29"/>
  <c r="N869" i="29"/>
  <c r="N873" i="29"/>
  <c r="N877" i="29"/>
  <c r="N881" i="29"/>
  <c r="N885" i="29"/>
  <c r="N889" i="29"/>
  <c r="N893" i="29"/>
  <c r="N897" i="29"/>
  <c r="N901" i="29"/>
  <c r="N476" i="29"/>
  <c r="N603" i="29"/>
  <c r="N670" i="29"/>
  <c r="N689" i="29"/>
  <c r="N715" i="29"/>
  <c r="N769" i="29"/>
  <c r="N776" i="29"/>
  <c r="N801" i="29"/>
  <c r="N808" i="29"/>
  <c r="N833" i="29"/>
  <c r="N840" i="29"/>
  <c r="N863" i="29"/>
  <c r="N871" i="29"/>
  <c r="N875" i="29"/>
  <c r="N879" i="29"/>
  <c r="N883" i="29"/>
  <c r="N887" i="29"/>
  <c r="N891" i="29"/>
  <c r="N895" i="29"/>
  <c r="N899" i="29"/>
  <c r="N714" i="29"/>
  <c r="N761" i="29"/>
  <c r="N832" i="29"/>
  <c r="N880" i="29"/>
  <c r="N896" i="29"/>
  <c r="N1064" i="29"/>
  <c r="N1065" i="29"/>
  <c r="N664" i="29"/>
  <c r="N683" i="29"/>
  <c r="N702" i="29"/>
  <c r="N793" i="29"/>
  <c r="N876" i="29"/>
  <c r="N892" i="29"/>
  <c r="N934" i="29"/>
  <c r="N938" i="29"/>
  <c r="N942" i="29"/>
  <c r="N946" i="29"/>
  <c r="N950" i="29"/>
  <c r="N954" i="29"/>
  <c r="N958" i="29"/>
  <c r="N962" i="29"/>
  <c r="N966" i="29"/>
  <c r="N970" i="29"/>
  <c r="N974" i="29"/>
  <c r="N978" i="29"/>
  <c r="N982" i="29"/>
  <c r="N986" i="29"/>
  <c r="N990" i="29"/>
  <c r="N994" i="29"/>
  <c r="N998" i="29"/>
  <c r="N1002" i="29"/>
  <c r="N1006" i="29"/>
  <c r="N1010" i="29"/>
  <c r="N1014" i="29"/>
  <c r="N1018" i="29"/>
  <c r="N1022" i="29"/>
  <c r="N1026" i="29"/>
  <c r="N1030" i="29"/>
  <c r="N1034" i="29"/>
  <c r="N1038" i="29"/>
  <c r="N1042" i="29"/>
  <c r="N1046" i="29"/>
  <c r="N1050" i="29"/>
  <c r="N1054" i="29"/>
  <c r="N1058" i="29"/>
  <c r="N1059" i="29"/>
  <c r="N1066" i="29"/>
  <c r="N1067" i="29"/>
  <c r="N1069" i="29"/>
  <c r="N1071" i="29"/>
  <c r="N1073" i="29"/>
  <c r="N1075" i="29"/>
  <c r="N1077" i="29"/>
  <c r="N1079" i="29"/>
  <c r="N1081" i="29"/>
  <c r="N1113" i="29"/>
  <c r="N1115" i="29"/>
  <c r="N1117" i="29"/>
  <c r="N1119" i="29"/>
  <c r="N1121" i="29"/>
  <c r="N1123" i="29"/>
  <c r="N1125" i="29"/>
  <c r="N1127" i="29"/>
  <c r="N1129" i="29"/>
  <c r="N1131" i="29"/>
  <c r="N1133" i="29"/>
  <c r="N1135" i="29"/>
  <c r="N642" i="29"/>
  <c r="N768" i="29"/>
  <c r="N825" i="29"/>
  <c r="N865" i="29"/>
  <c r="N872" i="29"/>
  <c r="N888" i="29"/>
  <c r="N1060" i="29"/>
  <c r="N1061" i="29"/>
  <c r="N900" i="29"/>
  <c r="N940" i="29"/>
  <c r="N956" i="29"/>
  <c r="N972" i="29"/>
  <c r="N988" i="29"/>
  <c r="N1004" i="29"/>
  <c r="N1020" i="29"/>
  <c r="N1036" i="29"/>
  <c r="N1052" i="29"/>
  <c r="N1068" i="29"/>
  <c r="N1076" i="29"/>
  <c r="N1114" i="29"/>
  <c r="N1122" i="29"/>
  <c r="N1130" i="29"/>
  <c r="N1137" i="29"/>
  <c r="N1141" i="29"/>
  <c r="N1145" i="29"/>
  <c r="N1149" i="29"/>
  <c r="N1153" i="29"/>
  <c r="N1157" i="29"/>
  <c r="N1161" i="29"/>
  <c r="N1165" i="29"/>
  <c r="N1169" i="29"/>
  <c r="N1173" i="29"/>
  <c r="N1177" i="29"/>
  <c r="N1181" i="29"/>
  <c r="N1185" i="29"/>
  <c r="N1189" i="29"/>
  <c r="N1193" i="29"/>
  <c r="N1197" i="29"/>
  <c r="N1201" i="29"/>
  <c r="N1205" i="29"/>
  <c r="N1209" i="29"/>
  <c r="N1213" i="29"/>
  <c r="N1217" i="29"/>
  <c r="N1221" i="29"/>
  <c r="N1225" i="29"/>
  <c r="N1229" i="29"/>
  <c r="N1233" i="29"/>
  <c r="N1237" i="29"/>
  <c r="N1241" i="29"/>
  <c r="N1245" i="29"/>
  <c r="N1249" i="29"/>
  <c r="N1253" i="29"/>
  <c r="N1257" i="29"/>
  <c r="N1261" i="29"/>
  <c r="N1295" i="29"/>
  <c r="N1299" i="29"/>
  <c r="N1303" i="29"/>
  <c r="N1307" i="29"/>
  <c r="N1311" i="29"/>
  <c r="N1315" i="29"/>
  <c r="N1319" i="29"/>
  <c r="N800" i="29"/>
  <c r="N857" i="29"/>
  <c r="N884" i="29"/>
  <c r="N936" i="29"/>
  <c r="N952" i="29"/>
  <c r="N968" i="29"/>
  <c r="N984" i="29"/>
  <c r="N1000" i="29"/>
  <c r="N1016" i="29"/>
  <c r="N1032" i="29"/>
  <c r="N1048" i="29"/>
  <c r="N1062" i="29"/>
  <c r="N1074" i="29"/>
  <c r="N1120" i="29"/>
  <c r="N1128" i="29"/>
  <c r="N1136" i="29"/>
  <c r="N1140" i="29"/>
  <c r="N1144" i="29"/>
  <c r="N1148" i="29"/>
  <c r="N1152" i="29"/>
  <c r="N1156" i="29"/>
  <c r="N1160" i="29"/>
  <c r="N1164" i="29"/>
  <c r="N1168" i="29"/>
  <c r="N1172" i="29"/>
  <c r="N1176" i="29"/>
  <c r="N1180" i="29"/>
  <c r="N1184" i="29"/>
  <c r="N1188" i="29"/>
  <c r="N1192" i="29"/>
  <c r="N1196" i="29"/>
  <c r="N1200" i="29"/>
  <c r="N1204" i="29"/>
  <c r="N1208" i="29"/>
  <c r="N1212" i="29"/>
  <c r="N1216" i="29"/>
  <c r="N1220" i="29"/>
  <c r="N1224" i="29"/>
  <c r="N1228" i="29"/>
  <c r="N1232" i="29"/>
  <c r="N1236" i="29"/>
  <c r="N1240" i="29"/>
  <c r="N1244" i="29"/>
  <c r="N1248" i="29"/>
  <c r="N1252" i="29"/>
  <c r="N1256" i="29"/>
  <c r="N1260" i="29"/>
  <c r="N1294" i="29"/>
  <c r="N1298" i="29"/>
  <c r="N1302" i="29"/>
  <c r="N1306" i="29"/>
  <c r="N1310" i="29"/>
  <c r="N1314" i="29"/>
  <c r="N1318" i="29"/>
  <c r="N1322" i="29"/>
  <c r="N1326" i="29"/>
  <c r="N1330" i="29"/>
  <c r="N1334" i="29"/>
  <c r="N1338" i="29"/>
  <c r="N1342" i="29"/>
  <c r="N1346" i="29"/>
  <c r="N1350" i="29"/>
  <c r="N1354" i="29"/>
  <c r="N1358" i="29"/>
  <c r="N1362" i="29"/>
  <c r="N1366" i="29"/>
  <c r="N1370" i="29"/>
  <c r="N1374" i="29"/>
  <c r="N1378" i="29"/>
  <c r="N1382" i="29"/>
  <c r="N1386" i="29"/>
  <c r="N1393" i="29"/>
  <c r="N1394" i="29"/>
  <c r="N1401" i="29"/>
  <c r="N1402" i="29"/>
  <c r="N948" i="29"/>
  <c r="N980" i="29"/>
  <c r="N1012" i="29"/>
  <c r="N1044" i="29"/>
  <c r="N1063" i="29"/>
  <c r="N1080" i="29"/>
  <c r="N1118" i="29"/>
  <c r="N1134" i="29"/>
  <c r="N1143" i="29"/>
  <c r="N1151" i="29"/>
  <c r="N1159" i="29"/>
  <c r="N1167" i="29"/>
  <c r="N1175" i="29"/>
  <c r="N1183" i="29"/>
  <c r="N1191" i="29"/>
  <c r="N1199" i="29"/>
  <c r="N1207" i="29"/>
  <c r="N1215" i="29"/>
  <c r="N1223" i="29"/>
  <c r="N1231" i="29"/>
  <c r="N1239" i="29"/>
  <c r="N1247" i="29"/>
  <c r="N1255" i="29"/>
  <c r="N1293" i="29"/>
  <c r="N1301" i="29"/>
  <c r="N1309" i="29"/>
  <c r="N1317" i="29"/>
  <c r="N1324" i="29"/>
  <c r="N1331" i="29"/>
  <c r="N1333" i="29"/>
  <c r="N1340" i="29"/>
  <c r="N1347" i="29"/>
  <c r="N1349" i="29"/>
  <c r="N1356" i="29"/>
  <c r="N1363" i="29"/>
  <c r="N1365" i="29"/>
  <c r="N1372" i="29"/>
  <c r="N1379" i="29"/>
  <c r="N1381" i="29"/>
  <c r="N1392" i="29"/>
  <c r="N1398" i="29"/>
  <c r="N1399" i="29"/>
  <c r="N1404" i="29"/>
  <c r="N1411" i="29"/>
  <c r="N1412" i="29"/>
  <c r="N1419" i="29"/>
  <c r="N1420" i="29"/>
  <c r="N1427" i="29"/>
  <c r="N1428" i="29"/>
  <c r="N1435" i="29"/>
  <c r="N1436" i="29"/>
  <c r="N964" i="29"/>
  <c r="N996" i="29"/>
  <c r="N1028" i="29"/>
  <c r="N1072" i="29"/>
  <c r="N1126" i="29"/>
  <c r="N1139" i="29"/>
  <c r="N1147" i="29"/>
  <c r="N1155" i="29"/>
  <c r="N1163" i="29"/>
  <c r="N1171" i="29"/>
  <c r="N1179" i="29"/>
  <c r="N1187" i="29"/>
  <c r="N1195" i="29"/>
  <c r="N1203" i="29"/>
  <c r="N1211" i="29"/>
  <c r="N1219" i="29"/>
  <c r="N1227" i="29"/>
  <c r="N1235" i="29"/>
  <c r="N1243" i="29"/>
  <c r="N1251" i="29"/>
  <c r="N1259" i="29"/>
  <c r="N1297" i="29"/>
  <c r="N1305" i="29"/>
  <c r="N1313" i="29"/>
  <c r="N1321" i="29"/>
  <c r="N1323" i="29"/>
  <c r="N1325" i="29"/>
  <c r="N1332" i="29"/>
  <c r="N1339" i="29"/>
  <c r="N1341" i="29"/>
  <c r="N1348" i="29"/>
  <c r="N1355" i="29"/>
  <c r="N1357" i="29"/>
  <c r="N1364" i="29"/>
  <c r="N1371" i="29"/>
  <c r="N1373" i="29"/>
  <c r="N1380" i="29"/>
  <c r="N1388" i="29"/>
  <c r="N1389" i="29"/>
  <c r="N1395" i="29"/>
  <c r="N1407" i="29"/>
  <c r="N1408" i="29"/>
  <c r="N1415" i="29"/>
  <c r="N1416" i="29"/>
  <c r="N1423" i="29"/>
  <c r="N1424" i="29"/>
  <c r="N1431" i="29"/>
  <c r="N1432" i="29"/>
  <c r="N1439" i="29"/>
  <c r="N1440" i="29"/>
  <c r="N944" i="29"/>
  <c r="N976" i="29"/>
  <c r="N1008" i="29"/>
  <c r="N1040" i="29"/>
  <c r="N1078" i="29"/>
  <c r="N1116" i="29"/>
  <c r="N1132" i="29"/>
  <c r="N1142" i="29"/>
  <c r="N1150" i="29"/>
  <c r="N1158" i="29"/>
  <c r="N1166" i="29"/>
  <c r="N1174" i="29"/>
  <c r="N1182" i="29"/>
  <c r="N1190" i="29"/>
  <c r="N1198" i="29"/>
  <c r="N1206" i="29"/>
  <c r="N1214" i="29"/>
  <c r="N1222" i="29"/>
  <c r="N1230" i="29"/>
  <c r="N1238" i="29"/>
  <c r="N1246" i="29"/>
  <c r="N1254" i="29"/>
  <c r="N1300" i="29"/>
  <c r="N1308" i="29"/>
  <c r="N1316" i="29"/>
  <c r="N1327" i="29"/>
  <c r="N1329" i="29"/>
  <c r="N1336" i="29"/>
  <c r="N1343" i="29"/>
  <c r="N1345" i="29"/>
  <c r="N1352" i="29"/>
  <c r="N1359" i="29"/>
  <c r="N1361" i="29"/>
  <c r="N1368" i="29"/>
  <c r="N1375" i="29"/>
  <c r="N1377" i="29"/>
  <c r="N1384" i="29"/>
  <c r="N1387" i="29"/>
  <c r="N1400" i="29"/>
  <c r="N1409" i="29"/>
  <c r="N1410" i="29"/>
  <c r="N1417" i="29"/>
  <c r="N1418" i="29"/>
  <c r="N1425" i="29"/>
  <c r="N1426" i="29"/>
  <c r="N1433" i="29"/>
  <c r="N1434" i="29"/>
  <c r="N1441" i="29"/>
  <c r="N1473" i="29"/>
  <c r="N1475" i="29"/>
  <c r="N1477" i="29"/>
  <c r="N1479" i="29"/>
  <c r="N1481" i="29"/>
  <c r="N1483" i="29"/>
  <c r="N1485" i="29"/>
  <c r="N1487" i="29"/>
  <c r="N1489" i="29"/>
  <c r="N1491" i="29"/>
  <c r="N1493" i="29"/>
  <c r="N1495" i="29"/>
  <c r="N1497" i="29"/>
  <c r="N1499" i="29"/>
  <c r="N1501" i="29"/>
  <c r="N1503" i="29"/>
  <c r="N1505" i="29"/>
  <c r="N1507" i="29"/>
  <c r="N1509" i="29"/>
  <c r="N1511" i="29"/>
  <c r="N1513" i="29"/>
  <c r="N1515" i="29"/>
  <c r="N1517" i="29"/>
  <c r="N1519" i="29"/>
  <c r="N1521" i="29"/>
  <c r="N1523" i="29"/>
  <c r="N1525" i="29"/>
  <c r="N1527" i="29"/>
  <c r="N1529" i="29"/>
  <c r="N1531" i="29"/>
  <c r="N1533" i="29"/>
  <c r="N1535" i="29"/>
  <c r="N1537" i="29"/>
  <c r="N1539" i="29"/>
  <c r="N1541" i="29"/>
  <c r="N1543" i="29"/>
  <c r="N1545" i="29"/>
  <c r="N1547" i="29"/>
  <c r="N1549" i="29"/>
  <c r="N1551" i="29"/>
  <c r="N1553" i="29"/>
  <c r="N1555" i="29"/>
  <c r="N1557" i="29"/>
  <c r="N1559" i="29"/>
  <c r="N1561" i="29"/>
  <c r="N1563" i="29"/>
  <c r="N1565" i="29"/>
  <c r="N1567" i="29"/>
  <c r="N1569" i="29"/>
  <c r="N1571" i="29"/>
  <c r="N1573" i="29"/>
  <c r="N1575" i="29"/>
  <c r="N1577" i="29"/>
  <c r="N1579" i="29"/>
  <c r="N1581" i="29"/>
  <c r="N1583" i="29"/>
  <c r="N1585" i="29"/>
  <c r="N1587" i="29"/>
  <c r="N1589" i="29"/>
  <c r="N1591" i="29"/>
  <c r="N1593" i="29"/>
  <c r="N1595" i="29"/>
  <c r="N1597" i="29"/>
  <c r="N1599" i="29"/>
  <c r="N1601" i="29"/>
  <c r="N1603" i="29"/>
  <c r="N1605" i="29"/>
  <c r="N1607" i="29"/>
  <c r="N1609" i="29"/>
  <c r="N1611" i="29"/>
  <c r="N1613" i="29"/>
  <c r="N1615" i="29"/>
  <c r="N1617" i="29"/>
  <c r="N1619" i="29"/>
  <c r="N1621" i="29"/>
  <c r="J1740" i="29"/>
  <c r="J1739" i="29"/>
  <c r="N1737" i="29"/>
  <c r="N1736" i="29"/>
  <c r="J1732" i="29"/>
  <c r="J1731" i="29"/>
  <c r="N1729" i="29"/>
  <c r="N1728" i="29"/>
  <c r="J1724" i="29"/>
  <c r="J1723" i="29"/>
  <c r="N1721" i="29"/>
  <c r="N1720" i="29"/>
  <c r="J1716" i="29"/>
  <c r="J1715" i="29"/>
  <c r="N1713" i="29"/>
  <c r="N1712" i="29"/>
  <c r="J1708" i="29"/>
  <c r="J1707" i="29"/>
  <c r="N1705" i="29"/>
  <c r="N1704" i="29"/>
  <c r="J1700" i="29"/>
  <c r="J1699" i="29"/>
  <c r="N1697" i="29"/>
  <c r="N1696" i="29"/>
  <c r="J1692" i="29"/>
  <c r="J1691" i="29"/>
  <c r="N1689" i="29"/>
  <c r="N1688" i="29"/>
  <c r="J1684" i="29"/>
  <c r="J1683" i="29"/>
  <c r="N1681" i="29"/>
  <c r="N1680" i="29"/>
  <c r="J1676" i="29"/>
  <c r="J1675" i="29"/>
  <c r="N1673" i="29"/>
  <c r="N1672" i="29"/>
  <c r="J1668" i="29"/>
  <c r="J1667" i="29"/>
  <c r="N1665" i="29"/>
  <c r="N1664" i="29"/>
  <c r="J1660" i="29"/>
  <c r="J1659" i="29"/>
  <c r="N1657" i="29"/>
  <c r="N1656" i="29"/>
  <c r="N1620" i="29"/>
  <c r="J1619" i="29"/>
  <c r="N1616" i="29"/>
  <c r="J1615" i="29"/>
  <c r="N1612" i="29"/>
  <c r="J1611" i="29"/>
  <c r="N1608" i="29"/>
  <c r="J1607" i="29"/>
  <c r="N1604" i="29"/>
  <c r="J1603" i="29"/>
  <c r="N1600" i="29"/>
  <c r="J1599" i="29"/>
  <c r="N1596" i="29"/>
  <c r="J1595" i="29"/>
  <c r="N1592" i="29"/>
  <c r="J1591" i="29"/>
  <c r="N1588" i="29"/>
  <c r="J1587" i="29"/>
  <c r="N1584" i="29"/>
  <c r="J1583" i="29"/>
  <c r="N1580" i="29"/>
  <c r="J1579" i="29"/>
  <c r="N1576" i="29"/>
  <c r="J1575" i="29"/>
  <c r="N1572" i="29"/>
  <c r="J1571" i="29"/>
  <c r="N1568" i="29"/>
  <c r="J1567" i="29"/>
  <c r="N1564" i="29"/>
  <c r="J1563" i="29"/>
  <c r="N1560" i="29"/>
  <c r="J1559" i="29"/>
  <c r="N1556" i="29"/>
  <c r="J1555" i="29"/>
  <c r="N1552" i="29"/>
  <c r="J1551" i="29"/>
  <c r="N1548" i="29"/>
  <c r="J1547" i="29"/>
  <c r="N1544" i="29"/>
  <c r="J1543" i="29"/>
  <c r="N1540" i="29"/>
  <c r="J1539" i="29"/>
  <c r="N1536" i="29"/>
  <c r="J1535" i="29"/>
  <c r="N1532" i="29"/>
  <c r="J1531" i="29"/>
  <c r="N1528" i="29"/>
  <c r="J1527" i="29"/>
  <c r="N1524" i="29"/>
  <c r="J1523" i="29"/>
  <c r="N1520" i="29"/>
  <c r="J1519" i="29"/>
  <c r="N1516" i="29"/>
  <c r="N1514" i="29"/>
  <c r="J1509" i="29"/>
  <c r="N1506" i="29"/>
  <c r="J1501" i="29"/>
  <c r="N1498" i="29"/>
  <c r="J1493" i="29"/>
  <c r="N1490" i="29"/>
  <c r="J1485" i="29"/>
  <c r="N1482" i="29"/>
  <c r="J1477" i="29"/>
  <c r="N1474" i="29"/>
  <c r="J1441" i="29"/>
  <c r="N1437" i="29"/>
  <c r="N1430" i="29"/>
  <c r="J1416" i="29"/>
  <c r="J1409" i="29"/>
  <c r="N1405" i="29"/>
  <c r="J1401" i="29"/>
  <c r="N1396" i="29"/>
  <c r="N1391" i="29"/>
  <c r="J1380" i="29"/>
  <c r="N1351" i="29"/>
  <c r="N1344" i="29"/>
  <c r="N1337" i="29"/>
  <c r="J1330" i="29"/>
  <c r="J1323" i="29"/>
  <c r="N1312" i="29"/>
  <c r="N1258" i="29"/>
  <c r="J1237" i="29"/>
  <c r="N1226" i="29"/>
  <c r="J1205" i="29"/>
  <c r="N1194" i="29"/>
  <c r="J1173" i="29"/>
  <c r="N1162" i="29"/>
  <c r="J1141" i="29"/>
  <c r="N1124" i="29"/>
  <c r="N1070" i="29"/>
  <c r="J1035" i="29"/>
  <c r="N992" i="29"/>
  <c r="J895" i="29"/>
  <c r="I47" i="1" l="1"/>
  <c r="B73" i="21"/>
  <c r="B84" i="21"/>
  <c r="P49" i="1" s="1"/>
  <c r="P70" i="1" s="1"/>
  <c r="B65" i="21" l="1"/>
  <c r="B68" i="21" s="1"/>
  <c r="P71" i="1"/>
  <c r="Q73" i="1" s="1"/>
  <c r="B54" i="21"/>
  <c r="Q25" i="1"/>
  <c r="B69" i="21" l="1"/>
  <c r="B74" i="21"/>
  <c r="B67" i="21"/>
  <c r="P73" i="1"/>
  <c r="B71" i="21"/>
  <c r="P74" i="1"/>
  <c r="J48" i="1" s="1"/>
  <c r="B72" i="21"/>
  <c r="B57" i="21"/>
  <c r="Q28" i="1"/>
  <c r="B53" i="21"/>
  <c r="Q29" i="1"/>
  <c r="B59" i="21"/>
  <c r="Q32" i="1"/>
  <c r="I48" i="1"/>
  <c r="B25" i="21"/>
  <c r="C25" i="21"/>
  <c r="B33" i="21"/>
  <c r="C33" i="21"/>
  <c r="B55" i="21"/>
  <c r="Q26" i="1"/>
  <c r="B2" i="29"/>
  <c r="F2" i="29"/>
  <c r="B3" i="29"/>
  <c r="C3" i="29"/>
  <c r="F3" i="29"/>
  <c r="G3" i="29"/>
  <c r="J3" i="29"/>
  <c r="K3" i="29"/>
  <c r="N3" i="29"/>
  <c r="O3" i="29"/>
  <c r="B4" i="29"/>
  <c r="C4" i="29"/>
  <c r="F4" i="29"/>
  <c r="G4" i="29"/>
  <c r="J4" i="29"/>
  <c r="K4" i="29"/>
  <c r="N4" i="29"/>
  <c r="O4" i="29"/>
  <c r="B5" i="29"/>
  <c r="C5" i="29"/>
  <c r="F5" i="29"/>
  <c r="G5" i="29"/>
  <c r="J5" i="29"/>
  <c r="K5" i="29"/>
  <c r="N5" i="29"/>
  <c r="O5" i="29"/>
  <c r="B6" i="29"/>
  <c r="C6" i="29"/>
  <c r="F6" i="29"/>
  <c r="G6" i="29"/>
  <c r="J6" i="29"/>
  <c r="K6" i="29"/>
  <c r="N6" i="29"/>
  <c r="O6" i="29"/>
  <c r="B7" i="29"/>
  <c r="C7" i="29"/>
  <c r="F7" i="29"/>
  <c r="G7" i="29"/>
  <c r="J7" i="29"/>
  <c r="K7" i="29"/>
  <c r="N7" i="29"/>
  <c r="O7" i="29"/>
  <c r="B8" i="29"/>
  <c r="C8" i="29"/>
  <c r="F8" i="29"/>
  <c r="G8" i="29"/>
  <c r="J8" i="29"/>
  <c r="K8" i="29"/>
  <c r="N8" i="29"/>
  <c r="O8" i="29"/>
  <c r="B9" i="29"/>
  <c r="C9" i="29"/>
  <c r="F9" i="29"/>
  <c r="G9" i="29"/>
  <c r="J9" i="29"/>
  <c r="K9" i="29"/>
  <c r="N9" i="29"/>
  <c r="O9" i="29"/>
  <c r="B10" i="29"/>
  <c r="C10" i="29"/>
  <c r="F10" i="29"/>
  <c r="G10" i="29"/>
  <c r="J10" i="29"/>
  <c r="K10" i="29"/>
  <c r="N10" i="29"/>
  <c r="O10" i="29"/>
  <c r="B11" i="29"/>
  <c r="C11" i="29"/>
  <c r="F11" i="29"/>
  <c r="G11" i="29"/>
  <c r="J11" i="29"/>
  <c r="K11" i="29"/>
  <c r="N11" i="29"/>
  <c r="O11" i="29"/>
  <c r="B12" i="29"/>
  <c r="C12" i="29"/>
  <c r="F12" i="29"/>
  <c r="G12" i="29"/>
  <c r="J12" i="29"/>
  <c r="K12" i="29"/>
  <c r="N12" i="29"/>
  <c r="O12" i="29"/>
  <c r="B13" i="29"/>
  <c r="C13" i="29"/>
  <c r="F13" i="29"/>
  <c r="G13" i="29"/>
  <c r="J13" i="29"/>
  <c r="K13" i="29"/>
  <c r="N13" i="29"/>
  <c r="O13" i="29"/>
  <c r="B14" i="29"/>
  <c r="C14" i="29"/>
  <c r="F14" i="29"/>
  <c r="G14" i="29"/>
  <c r="J14" i="29"/>
  <c r="K14" i="29"/>
  <c r="N14" i="29"/>
  <c r="O14" i="29"/>
  <c r="B15" i="29"/>
  <c r="C15" i="29"/>
  <c r="F15" i="29"/>
  <c r="G15" i="29"/>
  <c r="J15" i="29"/>
  <c r="K15" i="29"/>
  <c r="N15" i="29"/>
  <c r="O15" i="29"/>
  <c r="B16" i="29"/>
  <c r="C16" i="29"/>
  <c r="F16" i="29"/>
  <c r="G16" i="29"/>
  <c r="J16" i="29"/>
  <c r="K16" i="29"/>
  <c r="N16" i="29"/>
  <c r="O16" i="29"/>
  <c r="B17" i="29"/>
  <c r="C17" i="29"/>
  <c r="F17" i="29"/>
  <c r="G17" i="29"/>
  <c r="J17" i="29"/>
  <c r="K17" i="29"/>
  <c r="N17" i="29"/>
  <c r="O17" i="29"/>
  <c r="B18" i="29"/>
  <c r="C18" i="29"/>
  <c r="F18" i="29"/>
  <c r="G18" i="29"/>
  <c r="J18" i="29"/>
  <c r="K18" i="29"/>
  <c r="N18" i="29"/>
  <c r="O18" i="29"/>
  <c r="B19" i="29"/>
  <c r="C19" i="29"/>
  <c r="F19" i="29"/>
  <c r="G19" i="29"/>
  <c r="J19" i="29"/>
  <c r="K19" i="29"/>
  <c r="N19" i="29"/>
  <c r="O19" i="29"/>
  <c r="B20" i="29"/>
  <c r="C20" i="29"/>
  <c r="F20" i="29"/>
  <c r="G20" i="29"/>
  <c r="J20" i="29"/>
  <c r="K20" i="29"/>
  <c r="N20" i="29"/>
  <c r="O20" i="29"/>
  <c r="B21" i="29"/>
  <c r="C21" i="29"/>
  <c r="F21" i="29"/>
  <c r="G21" i="29"/>
  <c r="J21" i="29"/>
  <c r="K21" i="29"/>
  <c r="N21" i="29"/>
  <c r="O21" i="29"/>
  <c r="B22" i="29"/>
  <c r="C22" i="29"/>
  <c r="F22" i="29"/>
  <c r="G22" i="29"/>
  <c r="J22" i="29"/>
  <c r="K22" i="29"/>
  <c r="N22" i="29"/>
  <c r="O22" i="29"/>
  <c r="B23" i="29"/>
  <c r="C23" i="29"/>
  <c r="F23" i="29"/>
  <c r="G23" i="29"/>
  <c r="J23" i="29"/>
  <c r="K23" i="29"/>
  <c r="N23" i="29"/>
  <c r="O23" i="29"/>
  <c r="B24" i="29"/>
  <c r="C24" i="29"/>
  <c r="F24" i="29"/>
  <c r="G24" i="29"/>
  <c r="J24" i="29"/>
  <c r="K24" i="29"/>
  <c r="N24" i="29"/>
  <c r="O24" i="29"/>
  <c r="B25" i="29"/>
  <c r="C25" i="29"/>
  <c r="F25" i="29"/>
  <c r="G25" i="29"/>
  <c r="J25" i="29"/>
  <c r="K25" i="29"/>
  <c r="N25" i="29"/>
  <c r="O25" i="29"/>
  <c r="B26" i="29"/>
  <c r="C26" i="29"/>
  <c r="F26" i="29"/>
  <c r="G26" i="29"/>
  <c r="J26" i="29"/>
  <c r="K26" i="29"/>
  <c r="N26" i="29"/>
  <c r="O26" i="29"/>
  <c r="B27" i="29"/>
  <c r="C27" i="29"/>
  <c r="F27" i="29"/>
  <c r="G27" i="29"/>
  <c r="J27" i="29"/>
  <c r="K27" i="29"/>
  <c r="N27" i="29"/>
  <c r="O27" i="29"/>
  <c r="B28" i="29"/>
  <c r="C28" i="29"/>
  <c r="F28" i="29"/>
  <c r="G28" i="29"/>
  <c r="J28" i="29"/>
  <c r="K28" i="29"/>
  <c r="N28" i="29"/>
  <c r="O28" i="29"/>
  <c r="B29" i="29"/>
  <c r="C29" i="29"/>
  <c r="F29" i="29"/>
  <c r="G29" i="29"/>
  <c r="J29" i="29"/>
  <c r="K29" i="29"/>
  <c r="N29" i="29"/>
  <c r="O29" i="29"/>
  <c r="B30" i="29"/>
  <c r="C30" i="29"/>
  <c r="F30" i="29"/>
  <c r="G30" i="29"/>
  <c r="J30" i="29"/>
  <c r="K30" i="29"/>
  <c r="N30" i="29"/>
  <c r="O30" i="29"/>
  <c r="B31" i="29"/>
  <c r="C31" i="29"/>
  <c r="F31" i="29"/>
  <c r="G31" i="29"/>
  <c r="J31" i="29"/>
  <c r="K31" i="29"/>
  <c r="N31" i="29"/>
  <c r="O31" i="29"/>
  <c r="B32" i="29"/>
  <c r="C32" i="29"/>
  <c r="F32" i="29"/>
  <c r="G32" i="29"/>
  <c r="J32" i="29"/>
  <c r="K32" i="29"/>
  <c r="N32" i="29"/>
  <c r="O32" i="29"/>
  <c r="C33" i="29"/>
  <c r="G33" i="29"/>
  <c r="K33" i="29"/>
  <c r="O33" i="29"/>
  <c r="C34" i="29"/>
  <c r="G34" i="29"/>
  <c r="K34" i="29"/>
  <c r="O34" i="29"/>
  <c r="C35" i="29"/>
  <c r="G35" i="29"/>
  <c r="K35" i="29"/>
  <c r="O35" i="29"/>
  <c r="C36" i="29"/>
  <c r="G36" i="29"/>
  <c r="K36" i="29"/>
  <c r="O36" i="29"/>
  <c r="C37" i="29"/>
  <c r="G37" i="29"/>
  <c r="K37" i="29"/>
  <c r="O37" i="29"/>
  <c r="C38" i="29"/>
  <c r="G38" i="29"/>
  <c r="K38" i="29"/>
  <c r="O38" i="29"/>
  <c r="C39" i="29"/>
  <c r="G39" i="29"/>
  <c r="K39" i="29"/>
  <c r="O39" i="29"/>
  <c r="C40" i="29"/>
  <c r="G40" i="29"/>
  <c r="K40" i="29"/>
  <c r="O40" i="29"/>
  <c r="C41" i="29"/>
  <c r="G41" i="29"/>
  <c r="K41" i="29"/>
  <c r="O41" i="29"/>
  <c r="C42" i="29"/>
  <c r="G42" i="29"/>
  <c r="K42" i="29"/>
  <c r="O42" i="29"/>
  <c r="C43" i="29"/>
  <c r="G43" i="29"/>
  <c r="K43" i="29"/>
  <c r="O43" i="29"/>
  <c r="C44" i="29"/>
  <c r="G44" i="29"/>
  <c r="K44" i="29"/>
  <c r="O44" i="29"/>
  <c r="C45" i="29"/>
  <c r="G45" i="29"/>
  <c r="K45" i="29"/>
  <c r="O45" i="29"/>
  <c r="C46" i="29"/>
  <c r="G46" i="29"/>
  <c r="K46" i="29"/>
  <c r="O46" i="29"/>
  <c r="C47" i="29"/>
  <c r="G47" i="29"/>
  <c r="K47" i="29"/>
  <c r="O47" i="29"/>
  <c r="C48" i="29"/>
  <c r="G48" i="29"/>
  <c r="K48" i="29"/>
  <c r="O48" i="29"/>
  <c r="C49" i="29"/>
  <c r="G49" i="29"/>
  <c r="K49" i="29"/>
  <c r="O49" i="29"/>
  <c r="C50" i="29"/>
  <c r="G50" i="29"/>
  <c r="K50" i="29"/>
  <c r="O50" i="29"/>
  <c r="C51" i="29"/>
  <c r="G51" i="29"/>
  <c r="K51" i="29"/>
  <c r="O51" i="29"/>
  <c r="C52" i="29"/>
  <c r="G52" i="29"/>
  <c r="K52" i="29"/>
  <c r="O52" i="29"/>
  <c r="C53" i="29"/>
  <c r="G53" i="29"/>
  <c r="K53" i="29"/>
  <c r="O53" i="29"/>
  <c r="C54" i="29"/>
  <c r="G54" i="29"/>
  <c r="K54" i="29"/>
  <c r="O54" i="29"/>
  <c r="C55" i="29"/>
  <c r="G55" i="29"/>
  <c r="K55" i="29"/>
  <c r="O55" i="29"/>
  <c r="C56" i="29"/>
  <c r="G56" i="29"/>
  <c r="K56" i="29"/>
  <c r="O56" i="29"/>
  <c r="C57" i="29"/>
  <c r="G57" i="29"/>
  <c r="K57" i="29"/>
  <c r="O57" i="29"/>
  <c r="C58" i="29"/>
  <c r="G58" i="29"/>
  <c r="K58" i="29"/>
  <c r="O58" i="29"/>
  <c r="C59" i="29"/>
  <c r="G59" i="29"/>
  <c r="K59" i="29"/>
  <c r="O59" i="29"/>
  <c r="C60" i="29"/>
  <c r="G60" i="29"/>
  <c r="K60" i="29"/>
  <c r="O60" i="29"/>
  <c r="C61" i="29"/>
  <c r="G61" i="29"/>
  <c r="K61" i="29"/>
  <c r="O61" i="29"/>
  <c r="C62" i="29"/>
  <c r="G62" i="29"/>
  <c r="K62" i="29"/>
  <c r="O62" i="29"/>
  <c r="C63" i="29"/>
  <c r="G63" i="29"/>
  <c r="K63" i="29"/>
  <c r="O63" i="29"/>
  <c r="C64" i="29"/>
  <c r="G64" i="29"/>
  <c r="K64" i="29"/>
  <c r="O64" i="29"/>
  <c r="C65" i="29"/>
  <c r="G65" i="29"/>
  <c r="K65" i="29"/>
  <c r="O65" i="29"/>
  <c r="C66" i="29"/>
  <c r="G66" i="29"/>
  <c r="K66" i="29"/>
  <c r="O66" i="29"/>
  <c r="C67" i="29"/>
  <c r="G67" i="29"/>
  <c r="K67" i="29"/>
  <c r="O67" i="29"/>
  <c r="C68" i="29"/>
  <c r="G68" i="29"/>
  <c r="K68" i="29"/>
  <c r="O68" i="29"/>
  <c r="C69" i="29"/>
  <c r="G69" i="29"/>
  <c r="K69" i="29"/>
  <c r="O69" i="29"/>
  <c r="C70" i="29"/>
  <c r="G70" i="29"/>
  <c r="K70" i="29"/>
  <c r="O70" i="29"/>
  <c r="C71" i="29"/>
  <c r="G71" i="29"/>
  <c r="K71" i="29"/>
  <c r="O71" i="29"/>
  <c r="C72" i="29"/>
  <c r="G72" i="29"/>
  <c r="K72" i="29"/>
  <c r="O72" i="29"/>
  <c r="C73" i="29"/>
  <c r="G73" i="29"/>
  <c r="K73" i="29"/>
  <c r="O73" i="29"/>
  <c r="C74" i="29"/>
  <c r="G74" i="29"/>
  <c r="K74" i="29"/>
  <c r="O74" i="29"/>
  <c r="C75" i="29"/>
  <c r="G75" i="29"/>
  <c r="K75" i="29"/>
  <c r="O75" i="29"/>
  <c r="C76" i="29"/>
  <c r="G76" i="29"/>
  <c r="K76" i="29"/>
  <c r="O76" i="29"/>
  <c r="C77" i="29"/>
  <c r="G77" i="29"/>
  <c r="K77" i="29"/>
  <c r="O77" i="29"/>
  <c r="C78" i="29"/>
  <c r="G78" i="29"/>
  <c r="K78" i="29"/>
  <c r="O78" i="29"/>
  <c r="C79" i="29"/>
  <c r="G79" i="29"/>
  <c r="K79" i="29"/>
  <c r="O79" i="29"/>
  <c r="C80" i="29"/>
  <c r="G80" i="29"/>
  <c r="K80" i="29"/>
  <c r="O80" i="29"/>
  <c r="C81" i="29"/>
  <c r="G81" i="29"/>
  <c r="K81" i="29"/>
  <c r="O81" i="29"/>
  <c r="C82" i="29"/>
  <c r="G82" i="29"/>
  <c r="K82" i="29"/>
  <c r="O82" i="29"/>
  <c r="C83" i="29"/>
  <c r="G83" i="29"/>
  <c r="K83" i="29"/>
  <c r="O83" i="29"/>
  <c r="C84" i="29"/>
  <c r="G84" i="29"/>
  <c r="K84" i="29"/>
  <c r="O84" i="29"/>
  <c r="C85" i="29"/>
  <c r="G85" i="29"/>
  <c r="K85" i="29"/>
  <c r="O85" i="29"/>
  <c r="C86" i="29"/>
  <c r="G86" i="29"/>
  <c r="K86" i="29"/>
  <c r="O86" i="29"/>
  <c r="C87" i="29"/>
  <c r="G87" i="29"/>
  <c r="K87" i="29"/>
  <c r="O87" i="29"/>
  <c r="C88" i="29"/>
  <c r="G88" i="29"/>
  <c r="K88" i="29"/>
  <c r="O88" i="29"/>
  <c r="C89" i="29"/>
  <c r="G89" i="29"/>
  <c r="K89" i="29"/>
  <c r="O89" i="29"/>
  <c r="C90" i="29"/>
  <c r="G90" i="29"/>
  <c r="K90" i="29"/>
  <c r="O90" i="29"/>
  <c r="C91" i="29"/>
  <c r="G91" i="29"/>
  <c r="K91" i="29"/>
  <c r="O91" i="29"/>
  <c r="C92" i="29"/>
  <c r="G92" i="29"/>
  <c r="K92" i="29"/>
  <c r="O92" i="29"/>
  <c r="C93" i="29"/>
  <c r="G93" i="29"/>
  <c r="K93" i="29"/>
  <c r="O93" i="29"/>
  <c r="C94" i="29"/>
  <c r="G94" i="29"/>
  <c r="K94" i="29"/>
  <c r="O94" i="29"/>
  <c r="C95" i="29"/>
  <c r="G95" i="29"/>
  <c r="K95" i="29"/>
  <c r="O95" i="29"/>
  <c r="C96" i="29"/>
  <c r="G96" i="29"/>
  <c r="K96" i="29"/>
  <c r="O96" i="29"/>
  <c r="C97" i="29"/>
  <c r="G97" i="29"/>
  <c r="K97" i="29"/>
  <c r="O97" i="29"/>
  <c r="C98" i="29"/>
  <c r="G98" i="29"/>
  <c r="K98" i="29"/>
  <c r="O98" i="29"/>
  <c r="C99" i="29"/>
  <c r="G99" i="29"/>
  <c r="K99" i="29"/>
  <c r="O99" i="29"/>
  <c r="C100" i="29"/>
  <c r="G100" i="29"/>
  <c r="K100" i="29"/>
  <c r="O100" i="29"/>
  <c r="C101" i="29"/>
  <c r="G101" i="29"/>
  <c r="K101" i="29"/>
  <c r="O101" i="29"/>
  <c r="C102" i="29"/>
  <c r="G102" i="29"/>
  <c r="K102" i="29"/>
  <c r="O102" i="29"/>
  <c r="C103" i="29"/>
  <c r="G103" i="29"/>
  <c r="K103" i="29"/>
  <c r="O103" i="29"/>
  <c r="C104" i="29"/>
  <c r="G104" i="29"/>
  <c r="K104" i="29"/>
  <c r="O104" i="29"/>
  <c r="C105" i="29"/>
  <c r="G105" i="29"/>
  <c r="K105" i="29"/>
  <c r="O105" i="29"/>
  <c r="C106" i="29"/>
  <c r="G106" i="29"/>
  <c r="K106" i="29"/>
  <c r="O106" i="29"/>
  <c r="C107" i="29"/>
  <c r="G107" i="29"/>
  <c r="K107" i="29"/>
  <c r="O107" i="29"/>
  <c r="C108" i="29"/>
  <c r="G108" i="29"/>
  <c r="K108" i="29"/>
  <c r="O108" i="29"/>
  <c r="C109" i="29"/>
  <c r="G109" i="29"/>
  <c r="K109" i="29"/>
  <c r="O109" i="29"/>
  <c r="C110" i="29"/>
  <c r="G110" i="29"/>
  <c r="K110" i="29"/>
  <c r="O110" i="29"/>
  <c r="C111" i="29"/>
  <c r="G111" i="29"/>
  <c r="K111" i="29"/>
  <c r="O111" i="29"/>
  <c r="C112" i="29"/>
  <c r="G112" i="29"/>
  <c r="K112" i="29"/>
  <c r="O112" i="29"/>
  <c r="C113" i="29"/>
  <c r="G113" i="29"/>
  <c r="K113" i="29"/>
  <c r="O113" i="29"/>
  <c r="C114" i="29"/>
  <c r="G114" i="29"/>
  <c r="K114" i="29"/>
  <c r="O114" i="29"/>
  <c r="C115" i="29"/>
  <c r="G115" i="29"/>
  <c r="K115" i="29"/>
  <c r="O115" i="29"/>
  <c r="C116" i="29"/>
  <c r="G116" i="29"/>
  <c r="K116" i="29"/>
  <c r="O116" i="29"/>
  <c r="C117" i="29"/>
  <c r="G117" i="29"/>
  <c r="K117" i="29"/>
  <c r="O117" i="29"/>
  <c r="C118" i="29"/>
  <c r="G118" i="29"/>
  <c r="K118" i="29"/>
  <c r="O118" i="29"/>
  <c r="C119" i="29"/>
  <c r="G119" i="29"/>
  <c r="K119" i="29"/>
  <c r="O119" i="29"/>
  <c r="C120" i="29"/>
  <c r="G120" i="29"/>
  <c r="K120" i="29"/>
  <c r="O120" i="29"/>
  <c r="C121" i="29"/>
  <c r="G121" i="29"/>
  <c r="K121" i="29"/>
  <c r="O121" i="29"/>
  <c r="C122" i="29"/>
  <c r="G122" i="29"/>
  <c r="K122" i="29"/>
  <c r="O122" i="29"/>
  <c r="C123" i="29"/>
  <c r="G123" i="29"/>
  <c r="K123" i="29"/>
  <c r="O123" i="29"/>
  <c r="C124" i="29"/>
  <c r="G124" i="29"/>
  <c r="K124" i="29"/>
  <c r="O124" i="29"/>
  <c r="C125" i="29"/>
  <c r="G125" i="29"/>
  <c r="K125" i="29"/>
  <c r="O125" i="29"/>
  <c r="C126" i="29"/>
  <c r="G126" i="29"/>
  <c r="K126" i="29"/>
  <c r="O126" i="29"/>
  <c r="C127" i="29"/>
  <c r="G127" i="29"/>
  <c r="K127" i="29"/>
  <c r="O127" i="29"/>
  <c r="C128" i="29"/>
  <c r="G128" i="29"/>
  <c r="K128" i="29"/>
  <c r="O128" i="29"/>
  <c r="C129" i="29"/>
  <c r="G129" i="29"/>
  <c r="K129" i="29"/>
  <c r="O129" i="29"/>
  <c r="C130" i="29"/>
  <c r="G130" i="29"/>
  <c r="K130" i="29"/>
  <c r="O130" i="29"/>
  <c r="C131" i="29"/>
  <c r="G131" i="29"/>
  <c r="K131" i="29"/>
  <c r="O131" i="29"/>
  <c r="C132" i="29"/>
  <c r="G132" i="29"/>
  <c r="K132" i="29"/>
  <c r="O132" i="29"/>
  <c r="C133" i="29"/>
  <c r="G133" i="29"/>
  <c r="K133" i="29"/>
  <c r="O133" i="29"/>
  <c r="C134" i="29"/>
  <c r="G134" i="29"/>
  <c r="K134" i="29"/>
  <c r="O134" i="29"/>
  <c r="C135" i="29"/>
  <c r="G135" i="29"/>
  <c r="K135" i="29"/>
  <c r="O135" i="29"/>
  <c r="C136" i="29"/>
  <c r="G136" i="29"/>
  <c r="K136" i="29"/>
  <c r="O136" i="29"/>
  <c r="C137" i="29"/>
  <c r="G137" i="29"/>
  <c r="K137" i="29"/>
  <c r="O137" i="29"/>
  <c r="C138" i="29"/>
  <c r="G138" i="29"/>
  <c r="K138" i="29"/>
  <c r="O138" i="29"/>
  <c r="C139" i="29"/>
  <c r="G139" i="29"/>
  <c r="K139" i="29"/>
  <c r="O139" i="29"/>
  <c r="C140" i="29"/>
  <c r="G140" i="29"/>
  <c r="K140" i="29"/>
  <c r="O140" i="29"/>
  <c r="C141" i="29"/>
  <c r="G141" i="29"/>
  <c r="K141" i="29"/>
  <c r="O141" i="29"/>
  <c r="C142" i="29"/>
  <c r="G142" i="29"/>
  <c r="K142" i="29"/>
  <c r="O142" i="29"/>
  <c r="C143" i="29"/>
  <c r="G143" i="29"/>
  <c r="K143" i="29"/>
  <c r="O143" i="29"/>
  <c r="C144" i="29"/>
  <c r="G144" i="29"/>
  <c r="K144" i="29"/>
  <c r="O144" i="29"/>
  <c r="C145" i="29"/>
  <c r="G145" i="29"/>
  <c r="K145" i="29"/>
  <c r="O145" i="29"/>
  <c r="C146" i="29"/>
  <c r="G146" i="29"/>
  <c r="K146" i="29"/>
  <c r="O146" i="29"/>
  <c r="C147" i="29"/>
  <c r="G147" i="29"/>
  <c r="K147" i="29"/>
  <c r="O147" i="29"/>
  <c r="C148" i="29"/>
  <c r="G148" i="29"/>
  <c r="K148" i="29"/>
  <c r="O148" i="29"/>
  <c r="C149" i="29"/>
  <c r="G149" i="29"/>
  <c r="K149" i="29"/>
  <c r="O149" i="29"/>
  <c r="C150" i="29"/>
  <c r="G150" i="29"/>
  <c r="K150" i="29"/>
  <c r="O150" i="29"/>
  <c r="C151" i="29"/>
  <c r="G151" i="29"/>
  <c r="K151" i="29"/>
  <c r="O151" i="29"/>
  <c r="C152" i="29"/>
  <c r="G152" i="29"/>
  <c r="K152" i="29"/>
  <c r="O152" i="29"/>
  <c r="C153" i="29"/>
  <c r="G153" i="29"/>
  <c r="K153" i="29"/>
  <c r="O153" i="29"/>
  <c r="C154" i="29"/>
  <c r="G154" i="29"/>
  <c r="K154" i="29"/>
  <c r="O154" i="29"/>
  <c r="C155" i="29"/>
  <c r="G155" i="29"/>
  <c r="K155" i="29"/>
  <c r="O155" i="29"/>
  <c r="C156" i="29"/>
  <c r="G156" i="29"/>
  <c r="K156" i="29"/>
  <c r="O156" i="29"/>
  <c r="C157" i="29"/>
  <c r="G157" i="29"/>
  <c r="K157" i="29"/>
  <c r="O157" i="29"/>
  <c r="C158" i="29"/>
  <c r="G158" i="29"/>
  <c r="K158" i="29"/>
  <c r="O158" i="29"/>
  <c r="C159" i="29"/>
  <c r="G159" i="29"/>
  <c r="K159" i="29"/>
  <c r="O159" i="29"/>
  <c r="C160" i="29"/>
  <c r="G160" i="29"/>
  <c r="K160" i="29"/>
  <c r="O160" i="29"/>
  <c r="C161" i="29"/>
  <c r="G161" i="29"/>
  <c r="K161" i="29"/>
  <c r="O161" i="29"/>
  <c r="C162" i="29"/>
  <c r="G162" i="29"/>
  <c r="K162" i="29"/>
  <c r="O162" i="29"/>
  <c r="C163" i="29"/>
  <c r="G163" i="29"/>
  <c r="K163" i="29"/>
  <c r="O163" i="29"/>
  <c r="C164" i="29"/>
  <c r="G164" i="29"/>
  <c r="K164" i="29"/>
  <c r="O164" i="29"/>
  <c r="C165" i="29"/>
  <c r="G165" i="29"/>
  <c r="K165" i="29"/>
  <c r="O165" i="29"/>
  <c r="C166" i="29"/>
  <c r="G166" i="29"/>
  <c r="K166" i="29"/>
  <c r="O166" i="29"/>
  <c r="C167" i="29"/>
  <c r="G167" i="29"/>
  <c r="K167" i="29"/>
  <c r="O167" i="29"/>
  <c r="C168" i="29"/>
  <c r="G168" i="29"/>
  <c r="K168" i="29"/>
  <c r="O168" i="29"/>
  <c r="C169" i="29"/>
  <c r="G169" i="29"/>
  <c r="K169" i="29"/>
  <c r="O169" i="29"/>
  <c r="C170" i="29"/>
  <c r="G170" i="29"/>
  <c r="K170" i="29"/>
  <c r="O170" i="29"/>
  <c r="C171" i="29"/>
  <c r="G171" i="29"/>
  <c r="K171" i="29"/>
  <c r="O171" i="29"/>
  <c r="C172" i="29"/>
  <c r="G172" i="29"/>
  <c r="K172" i="29"/>
  <c r="O172" i="29"/>
  <c r="C173" i="29"/>
  <c r="G173" i="29"/>
  <c r="K173" i="29"/>
  <c r="O173" i="29"/>
  <c r="C174" i="29"/>
  <c r="G174" i="29"/>
  <c r="K174" i="29"/>
  <c r="O174" i="29"/>
  <c r="C175" i="29"/>
  <c r="G175" i="29"/>
  <c r="K175" i="29"/>
  <c r="O175" i="29"/>
  <c r="C176" i="29"/>
  <c r="G176" i="29"/>
  <c r="K176" i="29"/>
  <c r="O176" i="29"/>
  <c r="C177" i="29"/>
  <c r="G177" i="29"/>
  <c r="K177" i="29"/>
  <c r="O177" i="29"/>
  <c r="C178" i="29"/>
  <c r="G178" i="29"/>
  <c r="K178" i="29"/>
  <c r="O178" i="29"/>
  <c r="C179" i="29"/>
  <c r="G179" i="29"/>
  <c r="K179" i="29"/>
  <c r="O179" i="29"/>
  <c r="C180" i="29"/>
  <c r="G180" i="29"/>
  <c r="K180" i="29"/>
  <c r="O180" i="29"/>
  <c r="C181" i="29"/>
  <c r="G181" i="29"/>
  <c r="K181" i="29"/>
  <c r="O181" i="29"/>
  <c r="C182" i="29"/>
  <c r="G182" i="29"/>
  <c r="K182" i="29"/>
  <c r="O182" i="29"/>
  <c r="B183" i="29"/>
  <c r="C183" i="29"/>
  <c r="F183" i="29"/>
  <c r="G183" i="29"/>
  <c r="J183" i="29"/>
  <c r="K183" i="29"/>
  <c r="N183" i="29"/>
  <c r="O183" i="29"/>
  <c r="B184" i="29"/>
  <c r="C184" i="29"/>
  <c r="F184" i="29"/>
  <c r="G184" i="29"/>
  <c r="J184" i="29"/>
  <c r="K184" i="29"/>
  <c r="N184" i="29"/>
  <c r="O184" i="29"/>
  <c r="B185" i="29"/>
  <c r="C185" i="29"/>
  <c r="F185" i="29"/>
  <c r="G185" i="29"/>
  <c r="J185" i="29"/>
  <c r="K185" i="29"/>
  <c r="N185" i="29"/>
  <c r="O185" i="29"/>
  <c r="B186" i="29"/>
  <c r="C186" i="29"/>
  <c r="F186" i="29"/>
  <c r="G186" i="29"/>
  <c r="J186" i="29"/>
  <c r="K186" i="29"/>
  <c r="N186" i="29"/>
  <c r="O186" i="29"/>
  <c r="B187" i="29"/>
  <c r="C187" i="29"/>
  <c r="F187" i="29"/>
  <c r="G187" i="29"/>
  <c r="J187" i="29"/>
  <c r="K187" i="29"/>
  <c r="N187" i="29"/>
  <c r="O187" i="29"/>
  <c r="B188" i="29"/>
  <c r="C188" i="29"/>
  <c r="F188" i="29"/>
  <c r="G188" i="29"/>
  <c r="J188" i="29"/>
  <c r="K188" i="29"/>
  <c r="N188" i="29"/>
  <c r="O188" i="29"/>
  <c r="B189" i="29"/>
  <c r="C189" i="29"/>
  <c r="F189" i="29"/>
  <c r="G189" i="29"/>
  <c r="J189" i="29"/>
  <c r="K189" i="29"/>
  <c r="N189" i="29"/>
  <c r="O189" i="29"/>
  <c r="B190" i="29"/>
  <c r="C190" i="29"/>
  <c r="F190" i="29"/>
  <c r="G190" i="29"/>
  <c r="J190" i="29"/>
  <c r="K190" i="29"/>
  <c r="N190" i="29"/>
  <c r="O190" i="29"/>
  <c r="B191" i="29"/>
  <c r="C191" i="29"/>
  <c r="F191" i="29"/>
  <c r="G191" i="29"/>
  <c r="J191" i="29"/>
  <c r="K191" i="29"/>
  <c r="N191" i="29"/>
  <c r="O191" i="29"/>
  <c r="B192" i="29"/>
  <c r="C192" i="29"/>
  <c r="F192" i="29"/>
  <c r="G192" i="29"/>
  <c r="J192" i="29"/>
  <c r="K192" i="29"/>
  <c r="N192" i="29"/>
  <c r="O192" i="29"/>
  <c r="B193" i="29"/>
  <c r="C193" i="29"/>
  <c r="F193" i="29"/>
  <c r="G193" i="29"/>
  <c r="J193" i="29"/>
  <c r="K193" i="29"/>
  <c r="N193" i="29"/>
  <c r="O193" i="29"/>
  <c r="B194" i="29"/>
  <c r="C194" i="29"/>
  <c r="F194" i="29"/>
  <c r="G194" i="29"/>
  <c r="J194" i="29"/>
  <c r="K194" i="29"/>
  <c r="N194" i="29"/>
  <c r="O194" i="29"/>
  <c r="B195" i="29"/>
  <c r="C195" i="29"/>
  <c r="F195" i="29"/>
  <c r="G195" i="29"/>
  <c r="J195" i="29"/>
  <c r="K195" i="29"/>
  <c r="N195" i="29"/>
  <c r="O195" i="29"/>
  <c r="B196" i="29"/>
  <c r="C196" i="29"/>
  <c r="F196" i="29"/>
  <c r="G196" i="29"/>
  <c r="J196" i="29"/>
  <c r="K196" i="29"/>
  <c r="N196" i="29"/>
  <c r="O196" i="29"/>
  <c r="B197" i="29"/>
  <c r="C197" i="29"/>
  <c r="F197" i="29"/>
  <c r="G197" i="29"/>
  <c r="J197" i="29"/>
  <c r="K197" i="29"/>
  <c r="N197" i="29"/>
  <c r="O197" i="29"/>
  <c r="B198" i="29"/>
  <c r="C198" i="29"/>
  <c r="F198" i="29"/>
  <c r="G198" i="29"/>
  <c r="J198" i="29"/>
  <c r="K198" i="29"/>
  <c r="N198" i="29"/>
  <c r="O198" i="29"/>
  <c r="B199" i="29"/>
  <c r="C199" i="29"/>
  <c r="F199" i="29"/>
  <c r="G199" i="29"/>
  <c r="J199" i="29"/>
  <c r="K199" i="29"/>
  <c r="N199" i="29"/>
  <c r="O199" i="29"/>
  <c r="B200" i="29"/>
  <c r="C200" i="29"/>
  <c r="F200" i="29"/>
  <c r="G200" i="29"/>
  <c r="J200" i="29"/>
  <c r="K200" i="29"/>
  <c r="N200" i="29"/>
  <c r="O200" i="29"/>
  <c r="B201" i="29"/>
  <c r="C201" i="29"/>
  <c r="F201" i="29"/>
  <c r="G201" i="29"/>
  <c r="J201" i="29"/>
  <c r="K201" i="29"/>
  <c r="N201" i="29"/>
  <c r="O201" i="29"/>
  <c r="B202" i="29"/>
  <c r="C202" i="29"/>
  <c r="F202" i="29"/>
  <c r="G202" i="29"/>
  <c r="J202" i="29"/>
  <c r="K202" i="29"/>
  <c r="N202" i="29"/>
  <c r="O202" i="29"/>
  <c r="B203" i="29"/>
  <c r="C203" i="29"/>
  <c r="F203" i="29"/>
  <c r="G203" i="29"/>
  <c r="J203" i="29"/>
  <c r="K203" i="29"/>
  <c r="N203" i="29"/>
  <c r="O203" i="29"/>
  <c r="B204" i="29"/>
  <c r="C204" i="29"/>
  <c r="F204" i="29"/>
  <c r="G204" i="29"/>
  <c r="J204" i="29"/>
  <c r="K204" i="29"/>
  <c r="N204" i="29"/>
  <c r="O204" i="29"/>
  <c r="B205" i="29"/>
  <c r="C205" i="29"/>
  <c r="F205" i="29"/>
  <c r="G205" i="29"/>
  <c r="J205" i="29"/>
  <c r="K205" i="29"/>
  <c r="N205" i="29"/>
  <c r="O205" i="29"/>
  <c r="B206" i="29"/>
  <c r="C206" i="29"/>
  <c r="F206" i="29"/>
  <c r="G206" i="29"/>
  <c r="J206" i="29"/>
  <c r="K206" i="29"/>
  <c r="N206" i="29"/>
  <c r="O206" i="29"/>
  <c r="B207" i="29"/>
  <c r="C207" i="29"/>
  <c r="F207" i="29"/>
  <c r="G207" i="29"/>
  <c r="J207" i="29"/>
  <c r="K207" i="29"/>
  <c r="N207" i="29"/>
  <c r="O207" i="29"/>
  <c r="B208" i="29"/>
  <c r="C208" i="29"/>
  <c r="F208" i="29"/>
  <c r="G208" i="29"/>
  <c r="J208" i="29"/>
  <c r="K208" i="29"/>
  <c r="N208" i="29"/>
  <c r="O208" i="29"/>
  <c r="B209" i="29"/>
  <c r="C209" i="29"/>
  <c r="F209" i="29"/>
  <c r="G209" i="29"/>
  <c r="J209" i="29"/>
  <c r="K209" i="29"/>
  <c r="N209" i="29"/>
  <c r="O209" i="29"/>
  <c r="B210" i="29"/>
  <c r="C210" i="29"/>
  <c r="F210" i="29"/>
  <c r="G210" i="29"/>
  <c r="J210" i="29"/>
  <c r="K210" i="29"/>
  <c r="N210" i="29"/>
  <c r="O210" i="29"/>
  <c r="B211" i="29"/>
  <c r="C211" i="29"/>
  <c r="F211" i="29"/>
  <c r="G211" i="29"/>
  <c r="J211" i="29"/>
  <c r="K211" i="29"/>
  <c r="N211" i="29"/>
  <c r="O211" i="29"/>
  <c r="B212" i="29"/>
  <c r="C212" i="29"/>
  <c r="F212" i="29"/>
  <c r="G212" i="29"/>
  <c r="J212" i="29"/>
  <c r="K212" i="29"/>
  <c r="N212" i="29"/>
  <c r="O212" i="29"/>
  <c r="C213" i="29"/>
  <c r="G213" i="29"/>
  <c r="K213" i="29"/>
  <c r="O213" i="29"/>
  <c r="C214" i="29"/>
  <c r="G214" i="29"/>
  <c r="K214" i="29"/>
  <c r="O214" i="29"/>
  <c r="C215" i="29"/>
  <c r="G215" i="29"/>
  <c r="K215" i="29"/>
  <c r="O215" i="29"/>
  <c r="C216" i="29"/>
  <c r="G216" i="29"/>
  <c r="K216" i="29"/>
  <c r="O216" i="29"/>
  <c r="C217" i="29"/>
  <c r="G217" i="29"/>
  <c r="K217" i="29"/>
  <c r="O217" i="29"/>
  <c r="C218" i="29"/>
  <c r="G218" i="29"/>
  <c r="K218" i="29"/>
  <c r="O218" i="29"/>
  <c r="C219" i="29"/>
  <c r="G219" i="29"/>
  <c r="K219" i="29"/>
  <c r="O219" i="29"/>
  <c r="C220" i="29"/>
  <c r="G220" i="29"/>
  <c r="K220" i="29"/>
  <c r="O220" i="29"/>
  <c r="C221" i="29"/>
  <c r="G221" i="29"/>
  <c r="K221" i="29"/>
  <c r="O221" i="29"/>
  <c r="C222" i="29"/>
  <c r="G222" i="29"/>
  <c r="K222" i="29"/>
  <c r="O222" i="29"/>
  <c r="C223" i="29"/>
  <c r="G223" i="29"/>
  <c r="K223" i="29"/>
  <c r="O223" i="29"/>
  <c r="C224" i="29"/>
  <c r="G224" i="29"/>
  <c r="K224" i="29"/>
  <c r="O224" i="29"/>
  <c r="C225" i="29"/>
  <c r="G225" i="29"/>
  <c r="K225" i="29"/>
  <c r="O225" i="29"/>
  <c r="C226" i="29"/>
  <c r="G226" i="29"/>
  <c r="K226" i="29"/>
  <c r="O226" i="29"/>
  <c r="C227" i="29"/>
  <c r="G227" i="29"/>
  <c r="K227" i="29"/>
  <c r="O227" i="29"/>
  <c r="C228" i="29"/>
  <c r="G228" i="29"/>
  <c r="K228" i="29"/>
  <c r="O228" i="29"/>
  <c r="C229" i="29"/>
  <c r="G229" i="29"/>
  <c r="K229" i="29"/>
  <c r="O229" i="29"/>
  <c r="C230" i="29"/>
  <c r="G230" i="29"/>
  <c r="K230" i="29"/>
  <c r="O230" i="29"/>
  <c r="C231" i="29"/>
  <c r="G231" i="29"/>
  <c r="K231" i="29"/>
  <c r="O231" i="29"/>
  <c r="C232" i="29"/>
  <c r="G232" i="29"/>
  <c r="K232" i="29"/>
  <c r="O232" i="29"/>
  <c r="C233" i="29"/>
  <c r="G233" i="29"/>
  <c r="K233" i="29"/>
  <c r="O233" i="29"/>
  <c r="C234" i="29"/>
  <c r="G234" i="29"/>
  <c r="K234" i="29"/>
  <c r="O234" i="29"/>
  <c r="C235" i="29"/>
  <c r="G235" i="29"/>
  <c r="K235" i="29"/>
  <c r="O235" i="29"/>
  <c r="C236" i="29"/>
  <c r="G236" i="29"/>
  <c r="K236" i="29"/>
  <c r="O236" i="29"/>
  <c r="C237" i="29"/>
  <c r="G237" i="29"/>
  <c r="K237" i="29"/>
  <c r="O237" i="29"/>
  <c r="C238" i="29"/>
  <c r="G238" i="29"/>
  <c r="K238" i="29"/>
  <c r="O238" i="29"/>
  <c r="C239" i="29"/>
  <c r="G239" i="29"/>
  <c r="K239" i="29"/>
  <c r="O239" i="29"/>
  <c r="C240" i="29"/>
  <c r="G240" i="29"/>
  <c r="K240" i="29"/>
  <c r="O240" i="29"/>
  <c r="C241" i="29"/>
  <c r="G241" i="29"/>
  <c r="K241" i="29"/>
  <c r="O241" i="29"/>
  <c r="C242" i="29"/>
  <c r="G242" i="29"/>
  <c r="K242" i="29"/>
  <c r="O242" i="29"/>
  <c r="C243" i="29"/>
  <c r="G243" i="29"/>
  <c r="K243" i="29"/>
  <c r="O243" i="29"/>
  <c r="C244" i="29"/>
  <c r="G244" i="29"/>
  <c r="K244" i="29"/>
  <c r="O244" i="29"/>
  <c r="C245" i="29"/>
  <c r="G245" i="29"/>
  <c r="K245" i="29"/>
  <c r="O245" i="29"/>
  <c r="C246" i="29"/>
  <c r="G246" i="29"/>
  <c r="K246" i="29"/>
  <c r="O246" i="29"/>
  <c r="C247" i="29"/>
  <c r="G247" i="29"/>
  <c r="K247" i="29"/>
  <c r="O247" i="29"/>
  <c r="C248" i="29"/>
  <c r="G248" i="29"/>
  <c r="K248" i="29"/>
  <c r="O248" i="29"/>
  <c r="C249" i="29"/>
  <c r="G249" i="29"/>
  <c r="K249" i="29"/>
  <c r="O249" i="29"/>
  <c r="C250" i="29"/>
  <c r="G250" i="29"/>
  <c r="K250" i="29"/>
  <c r="O250" i="29"/>
  <c r="C251" i="29"/>
  <c r="G251" i="29"/>
  <c r="K251" i="29"/>
  <c r="O251" i="29"/>
  <c r="C252" i="29"/>
  <c r="G252" i="29"/>
  <c r="K252" i="29"/>
  <c r="O252" i="29"/>
  <c r="C253" i="29"/>
  <c r="G253" i="29"/>
  <c r="K253" i="29"/>
  <c r="O253" i="29"/>
  <c r="C254" i="29"/>
  <c r="G254" i="29"/>
  <c r="K254" i="29"/>
  <c r="O254" i="29"/>
  <c r="C255" i="29"/>
  <c r="G255" i="29"/>
  <c r="K255" i="29"/>
  <c r="O255" i="29"/>
  <c r="C256" i="29"/>
  <c r="G256" i="29"/>
  <c r="K256" i="29"/>
  <c r="O256" i="29"/>
  <c r="C257" i="29"/>
  <c r="G257" i="29"/>
  <c r="K257" i="29"/>
  <c r="O257" i="29"/>
  <c r="C258" i="29"/>
  <c r="G258" i="29"/>
  <c r="K258" i="29"/>
  <c r="O258" i="29"/>
  <c r="C259" i="29"/>
  <c r="G259" i="29"/>
  <c r="K259" i="29"/>
  <c r="O259" i="29"/>
  <c r="C260" i="29"/>
  <c r="G260" i="29"/>
  <c r="K260" i="29"/>
  <c r="O260" i="29"/>
  <c r="C261" i="29"/>
  <c r="G261" i="29"/>
  <c r="K261" i="29"/>
  <c r="O261" i="29"/>
  <c r="C262" i="29"/>
  <c r="G262" i="29"/>
  <c r="K262" i="29"/>
  <c r="O262" i="29"/>
  <c r="C263" i="29"/>
  <c r="G263" i="29"/>
  <c r="K263" i="29"/>
  <c r="O263" i="29"/>
  <c r="C264" i="29"/>
  <c r="G264" i="29"/>
  <c r="K264" i="29"/>
  <c r="O264" i="29"/>
  <c r="C265" i="29"/>
  <c r="G265" i="29"/>
  <c r="K265" i="29"/>
  <c r="O265" i="29"/>
  <c r="C266" i="29"/>
  <c r="G266" i="29"/>
  <c r="K266" i="29"/>
  <c r="O266" i="29"/>
  <c r="C267" i="29"/>
  <c r="G267" i="29"/>
  <c r="K267" i="29"/>
  <c r="O267" i="29"/>
  <c r="C268" i="29"/>
  <c r="G268" i="29"/>
  <c r="K268" i="29"/>
  <c r="O268" i="29"/>
  <c r="C269" i="29"/>
  <c r="G269" i="29"/>
  <c r="K269" i="29"/>
  <c r="O269" i="29"/>
  <c r="C270" i="29"/>
  <c r="G270" i="29"/>
  <c r="K270" i="29"/>
  <c r="O270" i="29"/>
  <c r="C271" i="29"/>
  <c r="G271" i="29"/>
  <c r="K271" i="29"/>
  <c r="O271" i="29"/>
  <c r="C272" i="29"/>
  <c r="G272" i="29"/>
  <c r="K272" i="29"/>
  <c r="O272" i="29"/>
  <c r="C273" i="29"/>
  <c r="G273" i="29"/>
  <c r="K273" i="29"/>
  <c r="O273" i="29"/>
  <c r="C274" i="29"/>
  <c r="G274" i="29"/>
  <c r="K274" i="29"/>
  <c r="O274" i="29"/>
  <c r="C275" i="29"/>
  <c r="G275" i="29"/>
  <c r="K275" i="29"/>
  <c r="O275" i="29"/>
  <c r="C276" i="29"/>
  <c r="G276" i="29"/>
  <c r="K276" i="29"/>
  <c r="O276" i="29"/>
  <c r="C277" i="29"/>
  <c r="G277" i="29"/>
  <c r="K277" i="29"/>
  <c r="O277" i="29"/>
  <c r="C278" i="29"/>
  <c r="G278" i="29"/>
  <c r="K278" i="29"/>
  <c r="O278" i="29"/>
  <c r="C279" i="29"/>
  <c r="G279" i="29"/>
  <c r="K279" i="29"/>
  <c r="O279" i="29"/>
  <c r="C280" i="29"/>
  <c r="G280" i="29"/>
  <c r="K280" i="29"/>
  <c r="O280" i="29"/>
  <c r="C281" i="29"/>
  <c r="G281" i="29"/>
  <c r="K281" i="29"/>
  <c r="O281" i="29"/>
  <c r="C282" i="29"/>
  <c r="G282" i="29"/>
  <c r="K282" i="29"/>
  <c r="O282" i="29"/>
  <c r="C283" i="29"/>
  <c r="G283" i="29"/>
  <c r="K283" i="29"/>
  <c r="O283" i="29"/>
  <c r="C284" i="29"/>
  <c r="G284" i="29"/>
  <c r="K284" i="29"/>
  <c r="O284" i="29"/>
  <c r="C285" i="29"/>
  <c r="G285" i="29"/>
  <c r="K285" i="29"/>
  <c r="O285" i="29"/>
  <c r="C286" i="29"/>
  <c r="G286" i="29"/>
  <c r="K286" i="29"/>
  <c r="O286" i="29"/>
  <c r="C287" i="29"/>
  <c r="G287" i="29"/>
  <c r="K287" i="29"/>
  <c r="O287" i="29"/>
  <c r="C288" i="29"/>
  <c r="G288" i="29"/>
  <c r="K288" i="29"/>
  <c r="O288" i="29"/>
  <c r="C289" i="29"/>
  <c r="G289" i="29"/>
  <c r="K289" i="29"/>
  <c r="O289" i="29"/>
  <c r="C290" i="29"/>
  <c r="G290" i="29"/>
  <c r="K290" i="29"/>
  <c r="O290" i="29"/>
  <c r="C291" i="29"/>
  <c r="G291" i="29"/>
  <c r="K291" i="29"/>
  <c r="O291" i="29"/>
  <c r="C292" i="29"/>
  <c r="G292" i="29"/>
  <c r="K292" i="29"/>
  <c r="O292" i="29"/>
  <c r="C293" i="29"/>
  <c r="G293" i="29"/>
  <c r="K293" i="29"/>
  <c r="O293" i="29"/>
  <c r="C294" i="29"/>
  <c r="G294" i="29"/>
  <c r="K294" i="29"/>
  <c r="O294" i="29"/>
  <c r="C295" i="29"/>
  <c r="G295" i="29"/>
  <c r="K295" i="29"/>
  <c r="O295" i="29"/>
  <c r="C296" i="29"/>
  <c r="G296" i="29"/>
  <c r="K296" i="29"/>
  <c r="O296" i="29"/>
  <c r="C297" i="29"/>
  <c r="G297" i="29"/>
  <c r="K297" i="29"/>
  <c r="O297" i="29"/>
  <c r="C298" i="29"/>
  <c r="G298" i="29"/>
  <c r="K298" i="29"/>
  <c r="O298" i="29"/>
  <c r="C299" i="29"/>
  <c r="G299" i="29"/>
  <c r="K299" i="29"/>
  <c r="O299" i="29"/>
  <c r="C300" i="29"/>
  <c r="G300" i="29"/>
  <c r="K300" i="29"/>
  <c r="O300" i="29"/>
  <c r="C301" i="29"/>
  <c r="G301" i="29"/>
  <c r="K301" i="29"/>
  <c r="O301" i="29"/>
  <c r="C302" i="29"/>
  <c r="G302" i="29"/>
  <c r="K302" i="29"/>
  <c r="O302" i="29"/>
  <c r="C303" i="29"/>
  <c r="G303" i="29"/>
  <c r="K303" i="29"/>
  <c r="O303" i="29"/>
  <c r="C304" i="29"/>
  <c r="G304" i="29"/>
  <c r="K304" i="29"/>
  <c r="O304" i="29"/>
  <c r="C305" i="29"/>
  <c r="G305" i="29"/>
  <c r="K305" i="29"/>
  <c r="O305" i="29"/>
  <c r="C306" i="29"/>
  <c r="G306" i="29"/>
  <c r="K306" i="29"/>
  <c r="O306" i="29"/>
  <c r="C307" i="29"/>
  <c r="G307" i="29"/>
  <c r="K307" i="29"/>
  <c r="O307" i="29"/>
  <c r="C308" i="29"/>
  <c r="G308" i="29"/>
  <c r="K308" i="29"/>
  <c r="O308" i="29"/>
  <c r="C309" i="29"/>
  <c r="G309" i="29"/>
  <c r="K309" i="29"/>
  <c r="O309" i="29"/>
  <c r="C310" i="29"/>
  <c r="G310" i="29"/>
  <c r="K310" i="29"/>
  <c r="O310" i="29"/>
  <c r="C311" i="29"/>
  <c r="G311" i="29"/>
  <c r="K311" i="29"/>
  <c r="O311" i="29"/>
  <c r="C312" i="29"/>
  <c r="G312" i="29"/>
  <c r="K312" i="29"/>
  <c r="O312" i="29"/>
  <c r="C313" i="29"/>
  <c r="G313" i="29"/>
  <c r="K313" i="29"/>
  <c r="O313" i="29"/>
  <c r="C314" i="29"/>
  <c r="G314" i="29"/>
  <c r="K314" i="29"/>
  <c r="O314" i="29"/>
  <c r="C315" i="29"/>
  <c r="G315" i="29"/>
  <c r="K315" i="29"/>
  <c r="O315" i="29"/>
  <c r="C316" i="29"/>
  <c r="G316" i="29"/>
  <c r="K316" i="29"/>
  <c r="O316" i="29"/>
  <c r="C317" i="29"/>
  <c r="G317" i="29"/>
  <c r="K317" i="29"/>
  <c r="O317" i="29"/>
  <c r="C318" i="29"/>
  <c r="G318" i="29"/>
  <c r="K318" i="29"/>
  <c r="O318" i="29"/>
  <c r="C319" i="29"/>
  <c r="G319" i="29"/>
  <c r="K319" i="29"/>
  <c r="O319" i="29"/>
  <c r="C320" i="29"/>
  <c r="G320" i="29"/>
  <c r="K320" i="29"/>
  <c r="O320" i="29"/>
  <c r="C321" i="29"/>
  <c r="G321" i="29"/>
  <c r="K321" i="29"/>
  <c r="O321" i="29"/>
  <c r="C322" i="29"/>
  <c r="G322" i="29"/>
  <c r="K322" i="29"/>
  <c r="O322" i="29"/>
  <c r="C323" i="29"/>
  <c r="G323" i="29"/>
  <c r="K323" i="29"/>
  <c r="O323" i="29"/>
  <c r="C324" i="29"/>
  <c r="G324" i="29"/>
  <c r="K324" i="29"/>
  <c r="O324" i="29"/>
  <c r="C325" i="29"/>
  <c r="G325" i="29"/>
  <c r="K325" i="29"/>
  <c r="O325" i="29"/>
  <c r="C326" i="29"/>
  <c r="G326" i="29"/>
  <c r="K326" i="29"/>
  <c r="O326" i="29"/>
  <c r="C327" i="29"/>
  <c r="G327" i="29"/>
  <c r="K327" i="29"/>
  <c r="O327" i="29"/>
  <c r="C328" i="29"/>
  <c r="G328" i="29"/>
  <c r="K328" i="29"/>
  <c r="O328" i="29"/>
  <c r="C329" i="29"/>
  <c r="G329" i="29"/>
  <c r="K329" i="29"/>
  <c r="O329" i="29"/>
  <c r="C330" i="29"/>
  <c r="G330" i="29"/>
  <c r="K330" i="29"/>
  <c r="O330" i="29"/>
  <c r="C331" i="29"/>
  <c r="G331" i="29"/>
  <c r="K331" i="29"/>
  <c r="O331" i="29"/>
  <c r="C332" i="29"/>
  <c r="G332" i="29"/>
  <c r="K332" i="29"/>
  <c r="O332" i="29"/>
  <c r="C333" i="29"/>
  <c r="G333" i="29"/>
  <c r="K333" i="29"/>
  <c r="O333" i="29"/>
  <c r="C334" i="29"/>
  <c r="G334" i="29"/>
  <c r="K334" i="29"/>
  <c r="O334" i="29"/>
  <c r="C335" i="29"/>
  <c r="G335" i="29"/>
  <c r="K335" i="29"/>
  <c r="O335" i="29"/>
  <c r="C336" i="29"/>
  <c r="G336" i="29"/>
  <c r="K336" i="29"/>
  <c r="O336" i="29"/>
  <c r="C337" i="29"/>
  <c r="G337" i="29"/>
  <c r="K337" i="29"/>
  <c r="O337" i="29"/>
  <c r="C338" i="29"/>
  <c r="G338" i="29"/>
  <c r="K338" i="29"/>
  <c r="O338" i="29"/>
  <c r="C339" i="29"/>
  <c r="G339" i="29"/>
  <c r="K339" i="29"/>
  <c r="O339" i="29"/>
  <c r="C340" i="29"/>
  <c r="G340" i="29"/>
  <c r="K340" i="29"/>
  <c r="O340" i="29"/>
  <c r="C341" i="29"/>
  <c r="G341" i="29"/>
  <c r="K341" i="29"/>
  <c r="O341" i="29"/>
  <c r="C342" i="29"/>
  <c r="G342" i="29"/>
  <c r="K342" i="29"/>
  <c r="O342" i="29"/>
  <c r="C343" i="29"/>
  <c r="G343" i="29"/>
  <c r="K343" i="29"/>
  <c r="O343" i="29"/>
  <c r="C344" i="29"/>
  <c r="G344" i="29"/>
  <c r="K344" i="29"/>
  <c r="O344" i="29"/>
  <c r="C345" i="29"/>
  <c r="G345" i="29"/>
  <c r="K345" i="29"/>
  <c r="O345" i="29"/>
  <c r="C346" i="29"/>
  <c r="G346" i="29"/>
  <c r="K346" i="29"/>
  <c r="O346" i="29"/>
  <c r="C347" i="29"/>
  <c r="G347" i="29"/>
  <c r="K347" i="29"/>
  <c r="O347" i="29"/>
  <c r="C348" i="29"/>
  <c r="G348" i="29"/>
  <c r="K348" i="29"/>
  <c r="O348" i="29"/>
  <c r="C349" i="29"/>
  <c r="G349" i="29"/>
  <c r="K349" i="29"/>
  <c r="O349" i="29"/>
  <c r="C350" i="29"/>
  <c r="G350" i="29"/>
  <c r="K350" i="29"/>
  <c r="O350" i="29"/>
  <c r="C351" i="29"/>
  <c r="G351" i="29"/>
  <c r="K351" i="29"/>
  <c r="O351" i="29"/>
  <c r="C352" i="29"/>
  <c r="G352" i="29"/>
  <c r="K352" i="29"/>
  <c r="O352" i="29"/>
  <c r="C353" i="29"/>
  <c r="G353" i="29"/>
  <c r="K353" i="29"/>
  <c r="O353" i="29"/>
  <c r="C354" i="29"/>
  <c r="G354" i="29"/>
  <c r="K354" i="29"/>
  <c r="O354" i="29"/>
  <c r="C355" i="29"/>
  <c r="G355" i="29"/>
  <c r="K355" i="29"/>
  <c r="O355" i="29"/>
  <c r="C356" i="29"/>
  <c r="G356" i="29"/>
  <c r="K356" i="29"/>
  <c r="O356" i="29"/>
  <c r="C357" i="29"/>
  <c r="G357" i="29"/>
  <c r="K357" i="29"/>
  <c r="O357" i="29"/>
  <c r="C358" i="29"/>
  <c r="G358" i="29"/>
  <c r="K358" i="29"/>
  <c r="O358" i="29"/>
  <c r="C359" i="29"/>
  <c r="G359" i="29"/>
  <c r="K359" i="29"/>
  <c r="O359" i="29"/>
  <c r="C360" i="29"/>
  <c r="G360" i="29"/>
  <c r="K360" i="29"/>
  <c r="O360" i="29"/>
  <c r="C361" i="29"/>
  <c r="G361" i="29"/>
  <c r="K361" i="29"/>
  <c r="O361" i="29"/>
  <c r="B362" i="29"/>
  <c r="C362" i="29"/>
  <c r="F362" i="29"/>
  <c r="G362" i="29"/>
  <c r="J362" i="29"/>
  <c r="K362" i="29"/>
  <c r="N362" i="29"/>
  <c r="O362" i="29"/>
  <c r="B363" i="29"/>
  <c r="C363" i="29"/>
  <c r="F363" i="29"/>
  <c r="G363" i="29"/>
  <c r="J363" i="29"/>
  <c r="K363" i="29"/>
  <c r="N363" i="29"/>
  <c r="O363" i="29"/>
  <c r="B364" i="29"/>
  <c r="C364" i="29"/>
  <c r="F364" i="29"/>
  <c r="G364" i="29"/>
  <c r="J364" i="29"/>
  <c r="K364" i="29"/>
  <c r="N364" i="29"/>
  <c r="O364" i="29"/>
  <c r="B365" i="29"/>
  <c r="C365" i="29"/>
  <c r="F365" i="29"/>
  <c r="G365" i="29"/>
  <c r="J365" i="29"/>
  <c r="K365" i="29"/>
  <c r="N365" i="29"/>
  <c r="O365" i="29"/>
  <c r="B366" i="29"/>
  <c r="C366" i="29"/>
  <c r="F366" i="29"/>
  <c r="G366" i="29"/>
  <c r="J366" i="29"/>
  <c r="K366" i="29"/>
  <c r="N366" i="29"/>
  <c r="O366" i="29"/>
  <c r="B367" i="29"/>
  <c r="C367" i="29"/>
  <c r="F367" i="29"/>
  <c r="G367" i="29"/>
  <c r="J367" i="29"/>
  <c r="K367" i="29"/>
  <c r="N367" i="29"/>
  <c r="O367" i="29"/>
  <c r="B368" i="29"/>
  <c r="C368" i="29"/>
  <c r="F368" i="29"/>
  <c r="G368" i="29"/>
  <c r="J368" i="29"/>
  <c r="K368" i="29"/>
  <c r="N368" i="29"/>
  <c r="O368" i="29"/>
  <c r="B369" i="29"/>
  <c r="C369" i="29"/>
  <c r="F369" i="29"/>
  <c r="G369" i="29"/>
  <c r="J369" i="29"/>
  <c r="K369" i="29"/>
  <c r="N369" i="29"/>
  <c r="O369" i="29"/>
  <c r="B370" i="29"/>
  <c r="C370" i="29"/>
  <c r="F370" i="29"/>
  <c r="G370" i="29"/>
  <c r="J370" i="29"/>
  <c r="K370" i="29"/>
  <c r="N370" i="29"/>
  <c r="O370" i="29"/>
  <c r="B371" i="29"/>
  <c r="C371" i="29"/>
  <c r="F371" i="29"/>
  <c r="G371" i="29"/>
  <c r="J371" i="29"/>
  <c r="K371" i="29"/>
  <c r="N371" i="29"/>
  <c r="O371" i="29"/>
  <c r="B372" i="29"/>
  <c r="C372" i="29"/>
  <c r="F372" i="29"/>
  <c r="G372" i="29"/>
  <c r="J372" i="29"/>
  <c r="K372" i="29"/>
  <c r="N372" i="29"/>
  <c r="O372" i="29"/>
  <c r="B373" i="29"/>
  <c r="C373" i="29"/>
  <c r="F373" i="29"/>
  <c r="G373" i="29"/>
  <c r="J373" i="29"/>
  <c r="K373" i="29"/>
  <c r="N373" i="29"/>
  <c r="O373" i="29"/>
  <c r="B374" i="29"/>
  <c r="C374" i="29"/>
  <c r="F374" i="29"/>
  <c r="G374" i="29"/>
  <c r="J374" i="29"/>
  <c r="K374" i="29"/>
  <c r="N374" i="29"/>
  <c r="O374" i="29"/>
  <c r="B375" i="29"/>
  <c r="C375" i="29"/>
  <c r="F375" i="29"/>
  <c r="G375" i="29"/>
  <c r="J375" i="29"/>
  <c r="K375" i="29"/>
  <c r="N375" i="29"/>
  <c r="O375" i="29"/>
  <c r="B376" i="29"/>
  <c r="C376" i="29"/>
  <c r="F376" i="29"/>
  <c r="G376" i="29"/>
  <c r="J376" i="29"/>
  <c r="K376" i="29"/>
  <c r="N376" i="29"/>
  <c r="O376" i="29"/>
  <c r="B377" i="29"/>
  <c r="C377" i="29"/>
  <c r="F377" i="29"/>
  <c r="G377" i="29"/>
  <c r="J377" i="29"/>
  <c r="K377" i="29"/>
  <c r="N377" i="29"/>
  <c r="O377" i="29"/>
  <c r="B378" i="29"/>
  <c r="C378" i="29"/>
  <c r="F378" i="29"/>
  <c r="G378" i="29"/>
  <c r="J378" i="29"/>
  <c r="K378" i="29"/>
  <c r="N378" i="29"/>
  <c r="O378" i="29"/>
  <c r="B379" i="29"/>
  <c r="C379" i="29"/>
  <c r="F379" i="29"/>
  <c r="G379" i="29"/>
  <c r="J379" i="29"/>
  <c r="K379" i="29"/>
  <c r="N379" i="29"/>
  <c r="O379" i="29"/>
  <c r="B380" i="29"/>
  <c r="C380" i="29"/>
  <c r="F380" i="29"/>
  <c r="G380" i="29"/>
  <c r="J380" i="29"/>
  <c r="K380" i="29"/>
  <c r="N380" i="29"/>
  <c r="O380" i="29"/>
  <c r="B381" i="29"/>
  <c r="C381" i="29"/>
  <c r="F381" i="29"/>
  <c r="G381" i="29"/>
  <c r="J381" i="29"/>
  <c r="K381" i="29"/>
  <c r="N381" i="29"/>
  <c r="O381" i="29"/>
  <c r="B382" i="29"/>
  <c r="C382" i="29"/>
  <c r="F382" i="29"/>
  <c r="G382" i="29"/>
  <c r="J382" i="29"/>
  <c r="K382" i="29"/>
  <c r="N382" i="29"/>
  <c r="O382" i="29"/>
  <c r="B383" i="29"/>
  <c r="C383" i="29"/>
  <c r="F383" i="29"/>
  <c r="G383" i="29"/>
  <c r="J383" i="29"/>
  <c r="K383" i="29"/>
  <c r="N383" i="29"/>
  <c r="O383" i="29"/>
  <c r="B384" i="29"/>
  <c r="C384" i="29"/>
  <c r="F384" i="29"/>
  <c r="G384" i="29"/>
  <c r="J384" i="29"/>
  <c r="K384" i="29"/>
  <c r="N384" i="29"/>
  <c r="O384" i="29"/>
  <c r="B385" i="29"/>
  <c r="C385" i="29"/>
  <c r="F385" i="29"/>
  <c r="G385" i="29"/>
  <c r="J385" i="29"/>
  <c r="K385" i="29"/>
  <c r="N385" i="29"/>
  <c r="O385" i="29"/>
  <c r="B386" i="29"/>
  <c r="C386" i="29"/>
  <c r="F386" i="29"/>
  <c r="G386" i="29"/>
  <c r="J386" i="29"/>
  <c r="K386" i="29"/>
  <c r="N386" i="29"/>
  <c r="O386" i="29"/>
  <c r="B387" i="29"/>
  <c r="C387" i="29"/>
  <c r="F387" i="29"/>
  <c r="G387" i="29"/>
  <c r="J387" i="29"/>
  <c r="K387" i="29"/>
  <c r="N387" i="29"/>
  <c r="O387" i="29"/>
  <c r="B388" i="29"/>
  <c r="C388" i="29"/>
  <c r="F388" i="29"/>
  <c r="G388" i="29"/>
  <c r="J388" i="29"/>
  <c r="K388" i="29"/>
  <c r="N388" i="29"/>
  <c r="O388" i="29"/>
  <c r="B389" i="29"/>
  <c r="C389" i="29"/>
  <c r="F389" i="29"/>
  <c r="G389" i="29"/>
  <c r="J389" i="29"/>
  <c r="K389" i="29"/>
  <c r="N389" i="29"/>
  <c r="O389" i="29"/>
  <c r="B390" i="29"/>
  <c r="C390" i="29"/>
  <c r="F390" i="29"/>
  <c r="G390" i="29"/>
  <c r="J390" i="29"/>
  <c r="K390" i="29"/>
  <c r="N390" i="29"/>
  <c r="O390" i="29"/>
  <c r="B391" i="29"/>
  <c r="C391" i="29"/>
  <c r="F391" i="29"/>
  <c r="G391" i="29"/>
  <c r="J391" i="29"/>
  <c r="K391" i="29"/>
  <c r="N391" i="29"/>
  <c r="O391" i="29"/>
  <c r="B392" i="29"/>
  <c r="C392" i="29"/>
  <c r="F392" i="29"/>
  <c r="G392" i="29"/>
  <c r="J392" i="29"/>
  <c r="K392" i="29"/>
  <c r="N392" i="29"/>
  <c r="O392" i="29"/>
  <c r="C393" i="29"/>
  <c r="G393" i="29"/>
  <c r="K393" i="29"/>
  <c r="O393" i="29"/>
  <c r="C394" i="29"/>
  <c r="G394" i="29"/>
  <c r="K394" i="29"/>
  <c r="O394" i="29"/>
  <c r="C395" i="29"/>
  <c r="G395" i="29"/>
  <c r="K395" i="29"/>
  <c r="O395" i="29"/>
  <c r="C396" i="29"/>
  <c r="G396" i="29"/>
  <c r="K396" i="29"/>
  <c r="O396" i="29"/>
  <c r="C397" i="29"/>
  <c r="G397" i="29"/>
  <c r="K397" i="29"/>
  <c r="O397" i="29"/>
  <c r="C398" i="29"/>
  <c r="G398" i="29"/>
  <c r="K398" i="29"/>
  <c r="O398" i="29"/>
  <c r="C399" i="29"/>
  <c r="G399" i="29"/>
  <c r="K399" i="29"/>
  <c r="O399" i="29"/>
  <c r="C400" i="29"/>
  <c r="G400" i="29"/>
  <c r="K400" i="29"/>
  <c r="O400" i="29"/>
  <c r="C401" i="29"/>
  <c r="G401" i="29"/>
  <c r="K401" i="29"/>
  <c r="O401" i="29"/>
  <c r="C402" i="29"/>
  <c r="G402" i="29"/>
  <c r="K402" i="29"/>
  <c r="O402" i="29"/>
  <c r="C403" i="29"/>
  <c r="G403" i="29"/>
  <c r="K403" i="29"/>
  <c r="O403" i="29"/>
  <c r="C404" i="29"/>
  <c r="G404" i="29"/>
  <c r="K404" i="29"/>
  <c r="O404" i="29"/>
  <c r="C405" i="29"/>
  <c r="G405" i="29"/>
  <c r="K405" i="29"/>
  <c r="O405" i="29"/>
  <c r="C406" i="29"/>
  <c r="G406" i="29"/>
  <c r="K406" i="29"/>
  <c r="O406" i="29"/>
  <c r="C407" i="29"/>
  <c r="G407" i="29"/>
  <c r="K407" i="29"/>
  <c r="O407" i="29"/>
  <c r="C408" i="29"/>
  <c r="G408" i="29"/>
  <c r="K408" i="29"/>
  <c r="O408" i="29"/>
  <c r="C409" i="29"/>
  <c r="G409" i="29"/>
  <c r="K409" i="29"/>
  <c r="O409" i="29"/>
  <c r="C410" i="29"/>
  <c r="G410" i="29"/>
  <c r="K410" i="29"/>
  <c r="O410" i="29"/>
  <c r="C411" i="29"/>
  <c r="G411" i="29"/>
  <c r="K411" i="29"/>
  <c r="O411" i="29"/>
  <c r="C412" i="29"/>
  <c r="G412" i="29"/>
  <c r="K412" i="29"/>
  <c r="O412" i="29"/>
  <c r="C413" i="29"/>
  <c r="G413" i="29"/>
  <c r="K413" i="29"/>
  <c r="O413" i="29"/>
  <c r="C414" i="29"/>
  <c r="G414" i="29"/>
  <c r="K414" i="29"/>
  <c r="O414" i="29"/>
  <c r="C415" i="29"/>
  <c r="G415" i="29"/>
  <c r="K415" i="29"/>
  <c r="O415" i="29"/>
  <c r="C416" i="29"/>
  <c r="G416" i="29"/>
  <c r="K416" i="29"/>
  <c r="O416" i="29"/>
  <c r="C417" i="29"/>
  <c r="G417" i="29"/>
  <c r="K417" i="29"/>
  <c r="O417" i="29"/>
  <c r="C418" i="29"/>
  <c r="G418" i="29"/>
  <c r="K418" i="29"/>
  <c r="O418" i="29"/>
  <c r="C419" i="29"/>
  <c r="G419" i="29"/>
  <c r="K419" i="29"/>
  <c r="O419" i="29"/>
  <c r="C420" i="29"/>
  <c r="G420" i="29"/>
  <c r="K420" i="29"/>
  <c r="O420" i="29"/>
  <c r="C421" i="29"/>
  <c r="G421" i="29"/>
  <c r="K421" i="29"/>
  <c r="O421" i="29"/>
  <c r="C422" i="29"/>
  <c r="G422" i="29"/>
  <c r="K422" i="29"/>
  <c r="O422" i="29"/>
  <c r="C423" i="29"/>
  <c r="G423" i="29"/>
  <c r="K423" i="29"/>
  <c r="O423" i="29"/>
  <c r="C424" i="29"/>
  <c r="G424" i="29"/>
  <c r="K424" i="29"/>
  <c r="O424" i="29"/>
  <c r="C425" i="29"/>
  <c r="G425" i="29"/>
  <c r="K425" i="29"/>
  <c r="O425" i="29"/>
  <c r="C426" i="29"/>
  <c r="G426" i="29"/>
  <c r="K426" i="29"/>
  <c r="O426" i="29"/>
  <c r="C427" i="29"/>
  <c r="G427" i="29"/>
  <c r="K427" i="29"/>
  <c r="O427" i="29"/>
  <c r="C428" i="29"/>
  <c r="G428" i="29"/>
  <c r="K428" i="29"/>
  <c r="O428" i="29"/>
  <c r="C429" i="29"/>
  <c r="G429" i="29"/>
  <c r="K429" i="29"/>
  <c r="O429" i="29"/>
  <c r="C430" i="29"/>
  <c r="G430" i="29"/>
  <c r="K430" i="29"/>
  <c r="O430" i="29"/>
  <c r="C431" i="29"/>
  <c r="G431" i="29"/>
  <c r="K431" i="29"/>
  <c r="O431" i="29"/>
  <c r="C432" i="29"/>
  <c r="G432" i="29"/>
  <c r="K432" i="29"/>
  <c r="O432" i="29"/>
  <c r="C433" i="29"/>
  <c r="G433" i="29"/>
  <c r="K433" i="29"/>
  <c r="O433" i="29"/>
  <c r="C434" i="29"/>
  <c r="G434" i="29"/>
  <c r="K434" i="29"/>
  <c r="O434" i="29"/>
  <c r="C435" i="29"/>
  <c r="G435" i="29"/>
  <c r="K435" i="29"/>
  <c r="O435" i="29"/>
  <c r="C436" i="29"/>
  <c r="G436" i="29"/>
  <c r="K436" i="29"/>
  <c r="O436" i="29"/>
  <c r="C437" i="29"/>
  <c r="G437" i="29"/>
  <c r="K437" i="29"/>
  <c r="O437" i="29"/>
  <c r="C438" i="29"/>
  <c r="G438" i="29"/>
  <c r="K438" i="29"/>
  <c r="O438" i="29"/>
  <c r="C439" i="29"/>
  <c r="G439" i="29"/>
  <c r="K439" i="29"/>
  <c r="O439" i="29"/>
  <c r="C440" i="29"/>
  <c r="G440" i="29"/>
  <c r="K440" i="29"/>
  <c r="O440" i="29"/>
  <c r="C441" i="29"/>
  <c r="G441" i="29"/>
  <c r="K441" i="29"/>
  <c r="O441" i="29"/>
  <c r="C442" i="29"/>
  <c r="G442" i="29"/>
  <c r="K442" i="29"/>
  <c r="O442" i="29"/>
  <c r="C443" i="29"/>
  <c r="G443" i="29"/>
  <c r="K443" i="29"/>
  <c r="O443" i="29"/>
  <c r="C444" i="29"/>
  <c r="G444" i="29"/>
  <c r="K444" i="29"/>
  <c r="O444" i="29"/>
  <c r="C445" i="29"/>
  <c r="G445" i="29"/>
  <c r="K445" i="29"/>
  <c r="O445" i="29"/>
  <c r="C446" i="29"/>
  <c r="G446" i="29"/>
  <c r="K446" i="29"/>
  <c r="O446" i="29"/>
  <c r="C447" i="29"/>
  <c r="G447" i="29"/>
  <c r="K447" i="29"/>
  <c r="O447" i="29"/>
  <c r="C448" i="29"/>
  <c r="G448" i="29"/>
  <c r="K448" i="29"/>
  <c r="O448" i="29"/>
  <c r="C449" i="29"/>
  <c r="G449" i="29"/>
  <c r="K449" i="29"/>
  <c r="O449" i="29"/>
  <c r="C450" i="29"/>
  <c r="G450" i="29"/>
  <c r="K450" i="29"/>
  <c r="O450" i="29"/>
  <c r="C451" i="29"/>
  <c r="G451" i="29"/>
  <c r="K451" i="29"/>
  <c r="O451" i="29"/>
  <c r="C452" i="29"/>
  <c r="G452" i="29"/>
  <c r="K452" i="29"/>
  <c r="O452" i="29"/>
  <c r="C453" i="29"/>
  <c r="G453" i="29"/>
  <c r="K453" i="29"/>
  <c r="O453" i="29"/>
  <c r="C454" i="29"/>
  <c r="G454" i="29"/>
  <c r="K454" i="29"/>
  <c r="O454" i="29"/>
  <c r="C455" i="29"/>
  <c r="G455" i="29"/>
  <c r="K455" i="29"/>
  <c r="O455" i="29"/>
  <c r="C456" i="29"/>
  <c r="G456" i="29"/>
  <c r="K456" i="29"/>
  <c r="O456" i="29"/>
  <c r="C457" i="29"/>
  <c r="G457" i="29"/>
  <c r="K457" i="29"/>
  <c r="O457" i="29"/>
  <c r="C458" i="29"/>
  <c r="G458" i="29"/>
  <c r="K458" i="29"/>
  <c r="O458" i="29"/>
  <c r="C459" i="29"/>
  <c r="G459" i="29"/>
  <c r="K459" i="29"/>
  <c r="O459" i="29"/>
  <c r="C460" i="29"/>
  <c r="G460" i="29"/>
  <c r="K460" i="29"/>
  <c r="O460" i="29"/>
  <c r="C461" i="29"/>
  <c r="G461" i="29"/>
  <c r="K461" i="29"/>
  <c r="O461" i="29"/>
  <c r="C462" i="29"/>
  <c r="G462" i="29"/>
  <c r="K462" i="29"/>
  <c r="O462" i="29"/>
  <c r="C463" i="29"/>
  <c r="G463" i="29"/>
  <c r="K463" i="29"/>
  <c r="O463" i="29"/>
  <c r="C464" i="29"/>
  <c r="G464" i="29"/>
  <c r="K464" i="29"/>
  <c r="O464" i="29"/>
  <c r="C465" i="29"/>
  <c r="G465" i="29"/>
  <c r="K465" i="29"/>
  <c r="O465" i="29"/>
  <c r="C466" i="29"/>
  <c r="G466" i="29"/>
  <c r="K466" i="29"/>
  <c r="O466" i="29"/>
  <c r="C467" i="29"/>
  <c r="G467" i="29"/>
  <c r="K467" i="29"/>
  <c r="O467" i="29"/>
  <c r="C468" i="29"/>
  <c r="G468" i="29"/>
  <c r="K468" i="29"/>
  <c r="O468" i="29"/>
  <c r="C469" i="29"/>
  <c r="G469" i="29"/>
  <c r="K469" i="29"/>
  <c r="O469" i="29"/>
  <c r="C470" i="29"/>
  <c r="G470" i="29"/>
  <c r="K470" i="29"/>
  <c r="O470" i="29"/>
  <c r="C471" i="29"/>
  <c r="G471" i="29"/>
  <c r="K471" i="29"/>
  <c r="O471" i="29"/>
  <c r="C472" i="29"/>
  <c r="G472" i="29"/>
  <c r="K472" i="29"/>
  <c r="O472" i="29"/>
  <c r="C473" i="29"/>
  <c r="G473" i="29"/>
  <c r="K473" i="29"/>
  <c r="O473" i="29"/>
  <c r="C474" i="29"/>
  <c r="G474" i="29"/>
  <c r="K474" i="29"/>
  <c r="O474" i="29"/>
  <c r="C475" i="29"/>
  <c r="G475" i="29"/>
  <c r="K475" i="29"/>
  <c r="O475" i="29"/>
  <c r="C476" i="29"/>
  <c r="G476" i="29"/>
  <c r="K476" i="29"/>
  <c r="O476" i="29"/>
  <c r="C477" i="29"/>
  <c r="G477" i="29"/>
  <c r="K477" i="29"/>
  <c r="O477" i="29"/>
  <c r="C478" i="29"/>
  <c r="G478" i="29"/>
  <c r="K478" i="29"/>
  <c r="O478" i="29"/>
  <c r="C479" i="29"/>
  <c r="G479" i="29"/>
  <c r="K479" i="29"/>
  <c r="O479" i="29"/>
  <c r="C480" i="29"/>
  <c r="G480" i="29"/>
  <c r="K480" i="29"/>
  <c r="O480" i="29"/>
  <c r="C481" i="29"/>
  <c r="G481" i="29"/>
  <c r="K481" i="29"/>
  <c r="O481" i="29"/>
  <c r="C482" i="29"/>
  <c r="G482" i="29"/>
  <c r="K482" i="29"/>
  <c r="O482" i="29"/>
  <c r="C483" i="29"/>
  <c r="G483" i="29"/>
  <c r="K483" i="29"/>
  <c r="O483" i="29"/>
  <c r="C484" i="29"/>
  <c r="G484" i="29"/>
  <c r="K484" i="29"/>
  <c r="O484" i="29"/>
  <c r="C485" i="29"/>
  <c r="G485" i="29"/>
  <c r="K485" i="29"/>
  <c r="O485" i="29"/>
  <c r="C486" i="29"/>
  <c r="G486" i="29"/>
  <c r="K486" i="29"/>
  <c r="O486" i="29"/>
  <c r="C487" i="29"/>
  <c r="G487" i="29"/>
  <c r="K487" i="29"/>
  <c r="O487" i="29"/>
  <c r="C488" i="29"/>
  <c r="G488" i="29"/>
  <c r="K488" i="29"/>
  <c r="O488" i="29"/>
  <c r="C489" i="29"/>
  <c r="G489" i="29"/>
  <c r="K489" i="29"/>
  <c r="O489" i="29"/>
  <c r="C490" i="29"/>
  <c r="G490" i="29"/>
  <c r="K490" i="29"/>
  <c r="O490" i="29"/>
  <c r="C491" i="29"/>
  <c r="G491" i="29"/>
  <c r="K491" i="29"/>
  <c r="O491" i="29"/>
  <c r="C492" i="29"/>
  <c r="G492" i="29"/>
  <c r="K492" i="29"/>
  <c r="O492" i="29"/>
  <c r="C493" i="29"/>
  <c r="G493" i="29"/>
  <c r="K493" i="29"/>
  <c r="O493" i="29"/>
  <c r="C494" i="29"/>
  <c r="G494" i="29"/>
  <c r="K494" i="29"/>
  <c r="O494" i="29"/>
  <c r="C495" i="29"/>
  <c r="G495" i="29"/>
  <c r="K495" i="29"/>
  <c r="O495" i="29"/>
  <c r="C496" i="29"/>
  <c r="G496" i="29"/>
  <c r="K496" i="29"/>
  <c r="O496" i="29"/>
  <c r="C497" i="29"/>
  <c r="G497" i="29"/>
  <c r="K497" i="29"/>
  <c r="O497" i="29"/>
  <c r="C498" i="29"/>
  <c r="G498" i="29"/>
  <c r="K498" i="29"/>
  <c r="O498" i="29"/>
  <c r="C499" i="29"/>
  <c r="G499" i="29"/>
  <c r="K499" i="29"/>
  <c r="O499" i="29"/>
  <c r="C500" i="29"/>
  <c r="G500" i="29"/>
  <c r="K500" i="29"/>
  <c r="O500" i="29"/>
  <c r="C501" i="29"/>
  <c r="G501" i="29"/>
  <c r="K501" i="29"/>
  <c r="O501" i="29"/>
  <c r="C502" i="29"/>
  <c r="G502" i="29"/>
  <c r="K502" i="29"/>
  <c r="O502" i="29"/>
  <c r="C503" i="29"/>
  <c r="G503" i="29"/>
  <c r="K503" i="29"/>
  <c r="O503" i="29"/>
  <c r="C504" i="29"/>
  <c r="G504" i="29"/>
  <c r="K504" i="29"/>
  <c r="O504" i="29"/>
  <c r="C505" i="29"/>
  <c r="G505" i="29"/>
  <c r="K505" i="29"/>
  <c r="O505" i="29"/>
  <c r="C506" i="29"/>
  <c r="G506" i="29"/>
  <c r="K506" i="29"/>
  <c r="O506" i="29"/>
  <c r="C507" i="29"/>
  <c r="G507" i="29"/>
  <c r="K507" i="29"/>
  <c r="O507" i="29"/>
  <c r="C508" i="29"/>
  <c r="G508" i="29"/>
  <c r="K508" i="29"/>
  <c r="O508" i="29"/>
  <c r="C509" i="29"/>
  <c r="G509" i="29"/>
  <c r="K509" i="29"/>
  <c r="O509" i="29"/>
  <c r="C510" i="29"/>
  <c r="G510" i="29"/>
  <c r="K510" i="29"/>
  <c r="O510" i="29"/>
  <c r="C511" i="29"/>
  <c r="G511" i="29"/>
  <c r="K511" i="29"/>
  <c r="O511" i="29"/>
  <c r="C512" i="29"/>
  <c r="G512" i="29"/>
  <c r="K512" i="29"/>
  <c r="O512" i="29"/>
  <c r="C513" i="29"/>
  <c r="G513" i="29"/>
  <c r="K513" i="29"/>
  <c r="O513" i="29"/>
  <c r="C514" i="29"/>
  <c r="G514" i="29"/>
  <c r="K514" i="29"/>
  <c r="O514" i="29"/>
  <c r="C515" i="29"/>
  <c r="G515" i="29"/>
  <c r="K515" i="29"/>
  <c r="O515" i="29"/>
  <c r="C516" i="29"/>
  <c r="G516" i="29"/>
  <c r="K516" i="29"/>
  <c r="O516" i="29"/>
  <c r="C517" i="29"/>
  <c r="G517" i="29"/>
  <c r="K517" i="29"/>
  <c r="O517" i="29"/>
  <c r="C518" i="29"/>
  <c r="G518" i="29"/>
  <c r="K518" i="29"/>
  <c r="O518" i="29"/>
  <c r="C519" i="29"/>
  <c r="G519" i="29"/>
  <c r="K519" i="29"/>
  <c r="O519" i="29"/>
  <c r="C520" i="29"/>
  <c r="G520" i="29"/>
  <c r="K520" i="29"/>
  <c r="O520" i="29"/>
  <c r="C521" i="29"/>
  <c r="G521" i="29"/>
  <c r="K521" i="29"/>
  <c r="O521" i="29"/>
  <c r="C522" i="29"/>
  <c r="G522" i="29"/>
  <c r="K522" i="29"/>
  <c r="O522" i="29"/>
  <c r="C523" i="29"/>
  <c r="G523" i="29"/>
  <c r="K523" i="29"/>
  <c r="O523" i="29"/>
  <c r="C524" i="29"/>
  <c r="G524" i="29"/>
  <c r="K524" i="29"/>
  <c r="O524" i="29"/>
  <c r="C525" i="29"/>
  <c r="G525" i="29"/>
  <c r="K525" i="29"/>
  <c r="O525" i="29"/>
  <c r="C526" i="29"/>
  <c r="G526" i="29"/>
  <c r="K526" i="29"/>
  <c r="O526" i="29"/>
  <c r="C527" i="29"/>
  <c r="G527" i="29"/>
  <c r="K527" i="29"/>
  <c r="O527" i="29"/>
  <c r="C528" i="29"/>
  <c r="G528" i="29"/>
  <c r="K528" i="29"/>
  <c r="O528" i="29"/>
  <c r="C529" i="29"/>
  <c r="G529" i="29"/>
  <c r="K529" i="29"/>
  <c r="O529" i="29"/>
  <c r="C530" i="29"/>
  <c r="G530" i="29"/>
  <c r="K530" i="29"/>
  <c r="O530" i="29"/>
  <c r="C531" i="29"/>
  <c r="G531" i="29"/>
  <c r="K531" i="29"/>
  <c r="O531" i="29"/>
  <c r="C532" i="29"/>
  <c r="G532" i="29"/>
  <c r="K532" i="29"/>
  <c r="O532" i="29"/>
  <c r="C533" i="29"/>
  <c r="G533" i="29"/>
  <c r="K533" i="29"/>
  <c r="O533" i="29"/>
  <c r="C534" i="29"/>
  <c r="G534" i="29"/>
  <c r="K534" i="29"/>
  <c r="O534" i="29"/>
  <c r="C535" i="29"/>
  <c r="G535" i="29"/>
  <c r="K535" i="29"/>
  <c r="O535" i="29"/>
  <c r="C536" i="29"/>
  <c r="G536" i="29"/>
  <c r="K536" i="29"/>
  <c r="O536" i="29"/>
  <c r="C537" i="29"/>
  <c r="G537" i="29"/>
  <c r="K537" i="29"/>
  <c r="O537" i="29"/>
  <c r="C538" i="29"/>
  <c r="G538" i="29"/>
  <c r="K538" i="29"/>
  <c r="O538" i="29"/>
  <c r="C539" i="29"/>
  <c r="G539" i="29"/>
  <c r="K539" i="29"/>
  <c r="O539" i="29"/>
  <c r="C540" i="29"/>
  <c r="G540" i="29"/>
  <c r="K540" i="29"/>
  <c r="O540" i="29"/>
  <c r="C541" i="29"/>
  <c r="G541" i="29"/>
  <c r="K541" i="29"/>
  <c r="O541" i="29"/>
  <c r="B542" i="29"/>
  <c r="C542" i="29"/>
  <c r="F542" i="29"/>
  <c r="G542" i="29"/>
  <c r="J542" i="29"/>
  <c r="K542" i="29"/>
  <c r="N542" i="29"/>
  <c r="O542" i="29"/>
  <c r="B543" i="29"/>
  <c r="C543" i="29"/>
  <c r="F543" i="29"/>
  <c r="G543" i="29"/>
  <c r="J543" i="29"/>
  <c r="K543" i="29"/>
  <c r="N543" i="29"/>
  <c r="O543" i="29"/>
  <c r="B544" i="29"/>
  <c r="C544" i="29"/>
  <c r="F544" i="29"/>
  <c r="G544" i="29"/>
  <c r="J544" i="29"/>
  <c r="K544" i="29"/>
  <c r="N544" i="29"/>
  <c r="O544" i="29"/>
  <c r="B545" i="29"/>
  <c r="C545" i="29"/>
  <c r="F545" i="29"/>
  <c r="G545" i="29"/>
  <c r="J545" i="29"/>
  <c r="K545" i="29"/>
  <c r="N545" i="29"/>
  <c r="O545" i="29"/>
  <c r="B546" i="29"/>
  <c r="C546" i="29"/>
  <c r="F546" i="29"/>
  <c r="G546" i="29"/>
  <c r="J546" i="29"/>
  <c r="K546" i="29"/>
  <c r="N546" i="29"/>
  <c r="O546" i="29"/>
  <c r="B547" i="29"/>
  <c r="C547" i="29"/>
  <c r="F547" i="29"/>
  <c r="G547" i="29"/>
  <c r="J547" i="29"/>
  <c r="K547" i="29"/>
  <c r="N547" i="29"/>
  <c r="O547" i="29"/>
  <c r="B548" i="29"/>
  <c r="C548" i="29"/>
  <c r="F548" i="29"/>
  <c r="G548" i="29"/>
  <c r="J548" i="29"/>
  <c r="K548" i="29"/>
  <c r="N548" i="29"/>
  <c r="O548" i="29"/>
  <c r="B549" i="29"/>
  <c r="C549" i="29"/>
  <c r="F549" i="29"/>
  <c r="G549" i="29"/>
  <c r="J549" i="29"/>
  <c r="K549" i="29"/>
  <c r="N549" i="29"/>
  <c r="O549" i="29"/>
  <c r="B550" i="29"/>
  <c r="C550" i="29"/>
  <c r="F550" i="29"/>
  <c r="G550" i="29"/>
  <c r="J550" i="29"/>
  <c r="K550" i="29"/>
  <c r="N550" i="29"/>
  <c r="O550" i="29"/>
  <c r="B551" i="29"/>
  <c r="C551" i="29"/>
  <c r="F551" i="29"/>
  <c r="G551" i="29"/>
  <c r="J551" i="29"/>
  <c r="K551" i="29"/>
  <c r="N551" i="29"/>
  <c r="O551" i="29"/>
  <c r="B552" i="29"/>
  <c r="C552" i="29"/>
  <c r="F552" i="29"/>
  <c r="G552" i="29"/>
  <c r="J552" i="29"/>
  <c r="K552" i="29"/>
  <c r="N552" i="29"/>
  <c r="O552" i="29"/>
  <c r="B553" i="29"/>
  <c r="C553" i="29"/>
  <c r="F553" i="29"/>
  <c r="G553" i="29"/>
  <c r="J553" i="29"/>
  <c r="K553" i="29"/>
  <c r="N553" i="29"/>
  <c r="O553" i="29"/>
  <c r="B554" i="29"/>
  <c r="C554" i="29"/>
  <c r="F554" i="29"/>
  <c r="G554" i="29"/>
  <c r="J554" i="29"/>
  <c r="K554" i="29"/>
  <c r="N554" i="29"/>
  <c r="O554" i="29"/>
  <c r="B555" i="29"/>
  <c r="C555" i="29"/>
  <c r="F555" i="29"/>
  <c r="G555" i="29"/>
  <c r="J555" i="29"/>
  <c r="K555" i="29"/>
  <c r="N555" i="29"/>
  <c r="O555" i="29"/>
  <c r="B556" i="29"/>
  <c r="C556" i="29"/>
  <c r="F556" i="29"/>
  <c r="G556" i="29"/>
  <c r="J556" i="29"/>
  <c r="K556" i="29"/>
  <c r="N556" i="29"/>
  <c r="O556" i="29"/>
  <c r="B557" i="29"/>
  <c r="C557" i="29"/>
  <c r="F557" i="29"/>
  <c r="G557" i="29"/>
  <c r="J557" i="29"/>
  <c r="K557" i="29"/>
  <c r="N557" i="29"/>
  <c r="O557" i="29"/>
  <c r="B558" i="29"/>
  <c r="C558" i="29"/>
  <c r="F558" i="29"/>
  <c r="G558" i="29"/>
  <c r="J558" i="29"/>
  <c r="K558" i="29"/>
  <c r="N558" i="29"/>
  <c r="O558" i="29"/>
  <c r="B559" i="29"/>
  <c r="C559" i="29"/>
  <c r="F559" i="29"/>
  <c r="G559" i="29"/>
  <c r="J559" i="29"/>
  <c r="K559" i="29"/>
  <c r="N559" i="29"/>
  <c r="O559" i="29"/>
  <c r="B560" i="29"/>
  <c r="C560" i="29"/>
  <c r="F560" i="29"/>
  <c r="G560" i="29"/>
  <c r="J560" i="29"/>
  <c r="K560" i="29"/>
  <c r="N560" i="29"/>
  <c r="O560" i="29"/>
  <c r="B561" i="29"/>
  <c r="C561" i="29"/>
  <c r="F561" i="29"/>
  <c r="G561" i="29"/>
  <c r="J561" i="29"/>
  <c r="K561" i="29"/>
  <c r="N561" i="29"/>
  <c r="O561" i="29"/>
  <c r="B562" i="29"/>
  <c r="C562" i="29"/>
  <c r="F562" i="29"/>
  <c r="G562" i="29"/>
  <c r="J562" i="29"/>
  <c r="K562" i="29"/>
  <c r="N562" i="29"/>
  <c r="O562" i="29"/>
  <c r="B563" i="29"/>
  <c r="C563" i="29"/>
  <c r="F563" i="29"/>
  <c r="G563" i="29"/>
  <c r="J563" i="29"/>
  <c r="K563" i="29"/>
  <c r="N563" i="29"/>
  <c r="O563" i="29"/>
  <c r="B564" i="29"/>
  <c r="C564" i="29"/>
  <c r="F564" i="29"/>
  <c r="G564" i="29"/>
  <c r="J564" i="29"/>
  <c r="K564" i="29"/>
  <c r="N564" i="29"/>
  <c r="O564" i="29"/>
  <c r="B565" i="29"/>
  <c r="C565" i="29"/>
  <c r="F565" i="29"/>
  <c r="G565" i="29"/>
  <c r="J565" i="29"/>
  <c r="K565" i="29"/>
  <c r="N565" i="29"/>
  <c r="O565" i="29"/>
  <c r="B566" i="29"/>
  <c r="C566" i="29"/>
  <c r="F566" i="29"/>
  <c r="G566" i="29"/>
  <c r="J566" i="29"/>
  <c r="K566" i="29"/>
  <c r="N566" i="29"/>
  <c r="O566" i="29"/>
  <c r="B567" i="29"/>
  <c r="C567" i="29"/>
  <c r="F567" i="29"/>
  <c r="G567" i="29"/>
  <c r="J567" i="29"/>
  <c r="K567" i="29"/>
  <c r="N567" i="29"/>
  <c r="O567" i="29"/>
  <c r="B568" i="29"/>
  <c r="C568" i="29"/>
  <c r="F568" i="29"/>
  <c r="G568" i="29"/>
  <c r="J568" i="29"/>
  <c r="K568" i="29"/>
  <c r="N568" i="29"/>
  <c r="O568" i="29"/>
  <c r="B569" i="29"/>
  <c r="C569" i="29"/>
  <c r="F569" i="29"/>
  <c r="G569" i="29"/>
  <c r="J569" i="29"/>
  <c r="K569" i="29"/>
  <c r="N569" i="29"/>
  <c r="O569" i="29"/>
  <c r="B570" i="29"/>
  <c r="C570" i="29"/>
  <c r="F570" i="29"/>
  <c r="G570" i="29"/>
  <c r="J570" i="29"/>
  <c r="K570" i="29"/>
  <c r="N570" i="29"/>
  <c r="O570" i="29"/>
  <c r="B571" i="29"/>
  <c r="C571" i="29"/>
  <c r="F571" i="29"/>
  <c r="G571" i="29"/>
  <c r="J571" i="29"/>
  <c r="K571" i="29"/>
  <c r="N571" i="29"/>
  <c r="O571" i="29"/>
  <c r="B572" i="29"/>
  <c r="C572" i="29"/>
  <c r="F572" i="29"/>
  <c r="G572" i="29"/>
  <c r="J572" i="29"/>
  <c r="K572" i="29"/>
  <c r="N572" i="29"/>
  <c r="O572" i="29"/>
  <c r="C573" i="29"/>
  <c r="G573" i="29"/>
  <c r="K573" i="29"/>
  <c r="O573" i="29"/>
  <c r="C574" i="29"/>
  <c r="G574" i="29"/>
  <c r="K574" i="29"/>
  <c r="O574" i="29"/>
  <c r="C575" i="29"/>
  <c r="G575" i="29"/>
  <c r="K575" i="29"/>
  <c r="O575" i="29"/>
  <c r="C576" i="29"/>
  <c r="G576" i="29"/>
  <c r="K576" i="29"/>
  <c r="O576" i="29"/>
  <c r="C577" i="29"/>
  <c r="G577" i="29"/>
  <c r="K577" i="29"/>
  <c r="O577" i="29"/>
  <c r="C578" i="29"/>
  <c r="G578" i="29"/>
  <c r="K578" i="29"/>
  <c r="O578" i="29"/>
  <c r="C579" i="29"/>
  <c r="G579" i="29"/>
  <c r="K579" i="29"/>
  <c r="O579" i="29"/>
  <c r="C580" i="29"/>
  <c r="G580" i="29"/>
  <c r="K580" i="29"/>
  <c r="O580" i="29"/>
  <c r="C581" i="29"/>
  <c r="G581" i="29"/>
  <c r="K581" i="29"/>
  <c r="O581" i="29"/>
  <c r="C582" i="29"/>
  <c r="G582" i="29"/>
  <c r="K582" i="29"/>
  <c r="O582" i="29"/>
  <c r="C583" i="29"/>
  <c r="G583" i="29"/>
  <c r="K583" i="29"/>
  <c r="O583" i="29"/>
  <c r="C584" i="29"/>
  <c r="G584" i="29"/>
  <c r="K584" i="29"/>
  <c r="O584" i="29"/>
  <c r="C585" i="29"/>
  <c r="G585" i="29"/>
  <c r="K585" i="29"/>
  <c r="O585" i="29"/>
  <c r="C586" i="29"/>
  <c r="G586" i="29"/>
  <c r="K586" i="29"/>
  <c r="O586" i="29"/>
  <c r="C587" i="29"/>
  <c r="G587" i="29"/>
  <c r="K587" i="29"/>
  <c r="O587" i="29"/>
  <c r="C588" i="29"/>
  <c r="G588" i="29"/>
  <c r="K588" i="29"/>
  <c r="O588" i="29"/>
  <c r="C589" i="29"/>
  <c r="G589" i="29"/>
  <c r="K589" i="29"/>
  <c r="O589" i="29"/>
  <c r="C590" i="29"/>
  <c r="G590" i="29"/>
  <c r="K590" i="29"/>
  <c r="O590" i="29"/>
  <c r="C591" i="29"/>
  <c r="G591" i="29"/>
  <c r="K591" i="29"/>
  <c r="O591" i="29"/>
  <c r="C592" i="29"/>
  <c r="G592" i="29"/>
  <c r="K592" i="29"/>
  <c r="O592" i="29"/>
  <c r="C593" i="29"/>
  <c r="G593" i="29"/>
  <c r="K593" i="29"/>
  <c r="O593" i="29"/>
  <c r="C594" i="29"/>
  <c r="G594" i="29"/>
  <c r="K594" i="29"/>
  <c r="O594" i="29"/>
  <c r="C595" i="29"/>
  <c r="G595" i="29"/>
  <c r="K595" i="29"/>
  <c r="O595" i="29"/>
  <c r="C596" i="29"/>
  <c r="G596" i="29"/>
  <c r="K596" i="29"/>
  <c r="O596" i="29"/>
  <c r="C597" i="29"/>
  <c r="G597" i="29"/>
  <c r="K597" i="29"/>
  <c r="O597" i="29"/>
  <c r="C598" i="29"/>
  <c r="G598" i="29"/>
  <c r="K598" i="29"/>
  <c r="O598" i="29"/>
  <c r="C599" i="29"/>
  <c r="G599" i="29"/>
  <c r="K599" i="29"/>
  <c r="O599" i="29"/>
  <c r="C600" i="29"/>
  <c r="G600" i="29"/>
  <c r="K600" i="29"/>
  <c r="O600" i="29"/>
  <c r="C601" i="29"/>
  <c r="G601" i="29"/>
  <c r="K601" i="29"/>
  <c r="O601" i="29"/>
  <c r="C602" i="29"/>
  <c r="G602" i="29"/>
  <c r="K602" i="29"/>
  <c r="O602" i="29"/>
  <c r="C603" i="29"/>
  <c r="G603" i="29"/>
  <c r="K603" i="29"/>
  <c r="O603" i="29"/>
  <c r="C604" i="29"/>
  <c r="G604" i="29"/>
  <c r="K604" i="29"/>
  <c r="O604" i="29"/>
  <c r="C605" i="29"/>
  <c r="G605" i="29"/>
  <c r="K605" i="29"/>
  <c r="O605" i="29"/>
  <c r="C606" i="29"/>
  <c r="G606" i="29"/>
  <c r="K606" i="29"/>
  <c r="O606" i="29"/>
  <c r="C607" i="29"/>
  <c r="G607" i="29"/>
  <c r="K607" i="29"/>
  <c r="O607" i="29"/>
  <c r="C608" i="29"/>
  <c r="G608" i="29"/>
  <c r="K608" i="29"/>
  <c r="O608" i="29"/>
  <c r="C609" i="29"/>
  <c r="G609" i="29"/>
  <c r="K609" i="29"/>
  <c r="O609" i="29"/>
  <c r="C610" i="29"/>
  <c r="G610" i="29"/>
  <c r="K610" i="29"/>
  <c r="O610" i="29"/>
  <c r="C611" i="29"/>
  <c r="G611" i="29"/>
  <c r="K611" i="29"/>
  <c r="O611" i="29"/>
  <c r="C612" i="29"/>
  <c r="G612" i="29"/>
  <c r="K612" i="29"/>
  <c r="O612" i="29"/>
  <c r="C613" i="29"/>
  <c r="G613" i="29"/>
  <c r="K613" i="29"/>
  <c r="O613" i="29"/>
  <c r="C614" i="29"/>
  <c r="G614" i="29"/>
  <c r="K614" i="29"/>
  <c r="O614" i="29"/>
  <c r="C615" i="29"/>
  <c r="G615" i="29"/>
  <c r="K615" i="29"/>
  <c r="O615" i="29"/>
  <c r="C616" i="29"/>
  <c r="G616" i="29"/>
  <c r="K616" i="29"/>
  <c r="O616" i="29"/>
  <c r="C617" i="29"/>
  <c r="G617" i="29"/>
  <c r="K617" i="29"/>
  <c r="O617" i="29"/>
  <c r="C618" i="29"/>
  <c r="G618" i="29"/>
  <c r="K618" i="29"/>
  <c r="O618" i="29"/>
  <c r="C619" i="29"/>
  <c r="G619" i="29"/>
  <c r="K619" i="29"/>
  <c r="O619" i="29"/>
  <c r="C620" i="29"/>
  <c r="G620" i="29"/>
  <c r="K620" i="29"/>
  <c r="O620" i="29"/>
  <c r="C621" i="29"/>
  <c r="G621" i="29"/>
  <c r="K621" i="29"/>
  <c r="O621" i="29"/>
  <c r="C622" i="29"/>
  <c r="G622" i="29"/>
  <c r="K622" i="29"/>
  <c r="O622" i="29"/>
  <c r="C623" i="29"/>
  <c r="G623" i="29"/>
  <c r="K623" i="29"/>
  <c r="O623" i="29"/>
  <c r="C624" i="29"/>
  <c r="G624" i="29"/>
  <c r="K624" i="29"/>
  <c r="O624" i="29"/>
  <c r="C625" i="29"/>
  <c r="G625" i="29"/>
  <c r="K625" i="29"/>
  <c r="O625" i="29"/>
  <c r="C626" i="29"/>
  <c r="G626" i="29"/>
  <c r="K626" i="29"/>
  <c r="O626" i="29"/>
  <c r="C627" i="29"/>
  <c r="G627" i="29"/>
  <c r="K627" i="29"/>
  <c r="O627" i="29"/>
  <c r="C628" i="29"/>
  <c r="G628" i="29"/>
  <c r="K628" i="29"/>
  <c r="O628" i="29"/>
  <c r="C629" i="29"/>
  <c r="G629" i="29"/>
  <c r="K629" i="29"/>
  <c r="O629" i="29"/>
  <c r="C630" i="29"/>
  <c r="G630" i="29"/>
  <c r="K630" i="29"/>
  <c r="O630" i="29"/>
  <c r="C631" i="29"/>
  <c r="G631" i="29"/>
  <c r="K631" i="29"/>
  <c r="O631" i="29"/>
  <c r="C632" i="29"/>
  <c r="G632" i="29"/>
  <c r="K632" i="29"/>
  <c r="O632" i="29"/>
  <c r="C633" i="29"/>
  <c r="G633" i="29"/>
  <c r="K633" i="29"/>
  <c r="O633" i="29"/>
  <c r="C634" i="29"/>
  <c r="G634" i="29"/>
  <c r="K634" i="29"/>
  <c r="O634" i="29"/>
  <c r="C635" i="29"/>
  <c r="G635" i="29"/>
  <c r="K635" i="29"/>
  <c r="O635" i="29"/>
  <c r="C636" i="29"/>
  <c r="G636" i="29"/>
  <c r="K636" i="29"/>
  <c r="O636" i="29"/>
  <c r="C637" i="29"/>
  <c r="G637" i="29"/>
  <c r="K637" i="29"/>
  <c r="O637" i="29"/>
  <c r="C638" i="29"/>
  <c r="G638" i="29"/>
  <c r="K638" i="29"/>
  <c r="O638" i="29"/>
  <c r="C639" i="29"/>
  <c r="G639" i="29"/>
  <c r="K639" i="29"/>
  <c r="O639" i="29"/>
  <c r="C640" i="29"/>
  <c r="G640" i="29"/>
  <c r="K640" i="29"/>
  <c r="O640" i="29"/>
  <c r="C641" i="29"/>
  <c r="G641" i="29"/>
  <c r="K641" i="29"/>
  <c r="O641" i="29"/>
  <c r="C642" i="29"/>
  <c r="G642" i="29"/>
  <c r="K642" i="29"/>
  <c r="O642" i="29"/>
  <c r="C643" i="29"/>
  <c r="G643" i="29"/>
  <c r="K643" i="29"/>
  <c r="O643" i="29"/>
  <c r="C644" i="29"/>
  <c r="G644" i="29"/>
  <c r="K644" i="29"/>
  <c r="O644" i="29"/>
  <c r="C645" i="29"/>
  <c r="G645" i="29"/>
  <c r="K645" i="29"/>
  <c r="O645" i="29"/>
  <c r="C646" i="29"/>
  <c r="G646" i="29"/>
  <c r="K646" i="29"/>
  <c r="O646" i="29"/>
  <c r="C647" i="29"/>
  <c r="G647" i="29"/>
  <c r="K647" i="29"/>
  <c r="O647" i="29"/>
  <c r="C648" i="29"/>
  <c r="G648" i="29"/>
  <c r="K648" i="29"/>
  <c r="O648" i="29"/>
  <c r="C649" i="29"/>
  <c r="G649" i="29"/>
  <c r="K649" i="29"/>
  <c r="O649" i="29"/>
  <c r="C650" i="29"/>
  <c r="G650" i="29"/>
  <c r="K650" i="29"/>
  <c r="O650" i="29"/>
  <c r="C651" i="29"/>
  <c r="G651" i="29"/>
  <c r="K651" i="29"/>
  <c r="O651" i="29"/>
  <c r="C652" i="29"/>
  <c r="G652" i="29"/>
  <c r="K652" i="29"/>
  <c r="O652" i="29"/>
  <c r="C653" i="29"/>
  <c r="G653" i="29"/>
  <c r="K653" i="29"/>
  <c r="O653" i="29"/>
  <c r="C654" i="29"/>
  <c r="G654" i="29"/>
  <c r="K654" i="29"/>
  <c r="O654" i="29"/>
  <c r="C655" i="29"/>
  <c r="G655" i="29"/>
  <c r="K655" i="29"/>
  <c r="O655" i="29"/>
  <c r="C656" i="29"/>
  <c r="G656" i="29"/>
  <c r="K656" i="29"/>
  <c r="O656" i="29"/>
  <c r="C657" i="29"/>
  <c r="G657" i="29"/>
  <c r="K657" i="29"/>
  <c r="O657" i="29"/>
  <c r="C658" i="29"/>
  <c r="G658" i="29"/>
  <c r="K658" i="29"/>
  <c r="O658" i="29"/>
  <c r="C659" i="29"/>
  <c r="G659" i="29"/>
  <c r="K659" i="29"/>
  <c r="O659" i="29"/>
  <c r="C660" i="29"/>
  <c r="G660" i="29"/>
  <c r="K660" i="29"/>
  <c r="O660" i="29"/>
  <c r="C661" i="29"/>
  <c r="G661" i="29"/>
  <c r="K661" i="29"/>
  <c r="O661" i="29"/>
  <c r="C662" i="29"/>
  <c r="G662" i="29"/>
  <c r="K662" i="29"/>
  <c r="O662" i="29"/>
  <c r="C663" i="29"/>
  <c r="G663" i="29"/>
  <c r="K663" i="29"/>
  <c r="O663" i="29"/>
  <c r="C664" i="29"/>
  <c r="G664" i="29"/>
  <c r="K664" i="29"/>
  <c r="O664" i="29"/>
  <c r="C665" i="29"/>
  <c r="G665" i="29"/>
  <c r="K665" i="29"/>
  <c r="O665" i="29"/>
  <c r="C666" i="29"/>
  <c r="G666" i="29"/>
  <c r="K666" i="29"/>
  <c r="O666" i="29"/>
  <c r="C667" i="29"/>
  <c r="G667" i="29"/>
  <c r="K667" i="29"/>
  <c r="O667" i="29"/>
  <c r="C668" i="29"/>
  <c r="G668" i="29"/>
  <c r="K668" i="29"/>
  <c r="O668" i="29"/>
  <c r="C669" i="29"/>
  <c r="G669" i="29"/>
  <c r="K669" i="29"/>
  <c r="O669" i="29"/>
  <c r="C670" i="29"/>
  <c r="G670" i="29"/>
  <c r="K670" i="29"/>
  <c r="O670" i="29"/>
  <c r="C671" i="29"/>
  <c r="G671" i="29"/>
  <c r="K671" i="29"/>
  <c r="O671" i="29"/>
  <c r="C672" i="29"/>
  <c r="G672" i="29"/>
  <c r="K672" i="29"/>
  <c r="O672" i="29"/>
  <c r="C673" i="29"/>
  <c r="G673" i="29"/>
  <c r="K673" i="29"/>
  <c r="O673" i="29"/>
  <c r="C674" i="29"/>
  <c r="G674" i="29"/>
  <c r="K674" i="29"/>
  <c r="O674" i="29"/>
  <c r="C675" i="29"/>
  <c r="G675" i="29"/>
  <c r="K675" i="29"/>
  <c r="O675" i="29"/>
  <c r="C676" i="29"/>
  <c r="G676" i="29"/>
  <c r="K676" i="29"/>
  <c r="O676" i="29"/>
  <c r="C677" i="29"/>
  <c r="G677" i="29"/>
  <c r="K677" i="29"/>
  <c r="O677" i="29"/>
  <c r="C678" i="29"/>
  <c r="G678" i="29"/>
  <c r="K678" i="29"/>
  <c r="O678" i="29"/>
  <c r="C679" i="29"/>
  <c r="G679" i="29"/>
  <c r="K679" i="29"/>
  <c r="O679" i="29"/>
  <c r="C680" i="29"/>
  <c r="G680" i="29"/>
  <c r="K680" i="29"/>
  <c r="O680" i="29"/>
  <c r="C681" i="29"/>
  <c r="G681" i="29"/>
  <c r="K681" i="29"/>
  <c r="O681" i="29"/>
  <c r="C682" i="29"/>
  <c r="G682" i="29"/>
  <c r="K682" i="29"/>
  <c r="O682" i="29"/>
  <c r="C683" i="29"/>
  <c r="G683" i="29"/>
  <c r="K683" i="29"/>
  <c r="O683" i="29"/>
  <c r="C684" i="29"/>
  <c r="G684" i="29"/>
  <c r="K684" i="29"/>
  <c r="O684" i="29"/>
  <c r="C685" i="29"/>
  <c r="G685" i="29"/>
  <c r="K685" i="29"/>
  <c r="O685" i="29"/>
  <c r="C686" i="29"/>
  <c r="G686" i="29"/>
  <c r="K686" i="29"/>
  <c r="O686" i="29"/>
  <c r="C687" i="29"/>
  <c r="G687" i="29"/>
  <c r="K687" i="29"/>
  <c r="O687" i="29"/>
  <c r="C688" i="29"/>
  <c r="G688" i="29"/>
  <c r="K688" i="29"/>
  <c r="O688" i="29"/>
  <c r="C689" i="29"/>
  <c r="G689" i="29"/>
  <c r="K689" i="29"/>
  <c r="O689" i="29"/>
  <c r="C690" i="29"/>
  <c r="G690" i="29"/>
  <c r="K690" i="29"/>
  <c r="O690" i="29"/>
  <c r="C691" i="29"/>
  <c r="G691" i="29"/>
  <c r="K691" i="29"/>
  <c r="O691" i="29"/>
  <c r="C692" i="29"/>
  <c r="G692" i="29"/>
  <c r="K692" i="29"/>
  <c r="O692" i="29"/>
  <c r="C693" i="29"/>
  <c r="G693" i="29"/>
  <c r="K693" i="29"/>
  <c r="O693" i="29"/>
  <c r="C694" i="29"/>
  <c r="G694" i="29"/>
  <c r="K694" i="29"/>
  <c r="O694" i="29"/>
  <c r="C695" i="29"/>
  <c r="G695" i="29"/>
  <c r="K695" i="29"/>
  <c r="O695" i="29"/>
  <c r="C696" i="29"/>
  <c r="G696" i="29"/>
  <c r="K696" i="29"/>
  <c r="O696" i="29"/>
  <c r="C697" i="29"/>
  <c r="G697" i="29"/>
  <c r="K697" i="29"/>
  <c r="O697" i="29"/>
  <c r="C698" i="29"/>
  <c r="G698" i="29"/>
  <c r="K698" i="29"/>
  <c r="O698" i="29"/>
  <c r="C699" i="29"/>
  <c r="G699" i="29"/>
  <c r="K699" i="29"/>
  <c r="O699" i="29"/>
  <c r="C700" i="29"/>
  <c r="G700" i="29"/>
  <c r="K700" i="29"/>
  <c r="O700" i="29"/>
  <c r="C701" i="29"/>
  <c r="G701" i="29"/>
  <c r="K701" i="29"/>
  <c r="O701" i="29"/>
  <c r="C702" i="29"/>
  <c r="G702" i="29"/>
  <c r="K702" i="29"/>
  <c r="O702" i="29"/>
  <c r="C703" i="29"/>
  <c r="G703" i="29"/>
  <c r="K703" i="29"/>
  <c r="O703" i="29"/>
  <c r="C704" i="29"/>
  <c r="G704" i="29"/>
  <c r="K704" i="29"/>
  <c r="O704" i="29"/>
  <c r="C705" i="29"/>
  <c r="G705" i="29"/>
  <c r="K705" i="29"/>
  <c r="O705" i="29"/>
  <c r="C706" i="29"/>
  <c r="G706" i="29"/>
  <c r="K706" i="29"/>
  <c r="O706" i="29"/>
  <c r="C707" i="29"/>
  <c r="G707" i="29"/>
  <c r="K707" i="29"/>
  <c r="O707" i="29"/>
  <c r="C708" i="29"/>
  <c r="G708" i="29"/>
  <c r="K708" i="29"/>
  <c r="O708" i="29"/>
  <c r="C709" i="29"/>
  <c r="G709" i="29"/>
  <c r="K709" i="29"/>
  <c r="O709" i="29"/>
  <c r="C710" i="29"/>
  <c r="G710" i="29"/>
  <c r="K710" i="29"/>
  <c r="O710" i="29"/>
  <c r="C711" i="29"/>
  <c r="G711" i="29"/>
  <c r="K711" i="29"/>
  <c r="O711" i="29"/>
  <c r="C712" i="29"/>
  <c r="G712" i="29"/>
  <c r="K712" i="29"/>
  <c r="O712" i="29"/>
  <c r="C713" i="29"/>
  <c r="G713" i="29"/>
  <c r="K713" i="29"/>
  <c r="O713" i="29"/>
  <c r="C714" i="29"/>
  <c r="G714" i="29"/>
  <c r="K714" i="29"/>
  <c r="O714" i="29"/>
  <c r="C715" i="29"/>
  <c r="G715" i="29"/>
  <c r="K715" i="29"/>
  <c r="O715" i="29"/>
  <c r="C716" i="29"/>
  <c r="G716" i="29"/>
  <c r="K716" i="29"/>
  <c r="O716" i="29"/>
  <c r="C717" i="29"/>
  <c r="G717" i="29"/>
  <c r="K717" i="29"/>
  <c r="O717" i="29"/>
  <c r="C718" i="29"/>
  <c r="G718" i="29"/>
  <c r="K718" i="29"/>
  <c r="O718" i="29"/>
  <c r="C719" i="29"/>
  <c r="G719" i="29"/>
  <c r="K719" i="29"/>
  <c r="O719" i="29"/>
  <c r="C720" i="29"/>
  <c r="G720" i="29"/>
  <c r="K720" i="29"/>
  <c r="O720" i="29"/>
  <c r="C721" i="29"/>
  <c r="G721" i="29"/>
  <c r="K721" i="29"/>
  <c r="O721" i="29"/>
  <c r="B722" i="29"/>
  <c r="C722" i="29"/>
  <c r="F722" i="29"/>
  <c r="G722" i="29"/>
  <c r="J722" i="29"/>
  <c r="K722" i="29"/>
  <c r="N722" i="29"/>
  <c r="O722" i="29"/>
  <c r="B723" i="29"/>
  <c r="C723" i="29"/>
  <c r="F723" i="29"/>
  <c r="G723" i="29"/>
  <c r="J723" i="29"/>
  <c r="K723" i="29"/>
  <c r="N723" i="29"/>
  <c r="O723" i="29"/>
  <c r="B724" i="29"/>
  <c r="C724" i="29"/>
  <c r="F724" i="29"/>
  <c r="G724" i="29"/>
  <c r="J724" i="29"/>
  <c r="K724" i="29"/>
  <c r="N724" i="29"/>
  <c r="O724" i="29"/>
  <c r="B725" i="29"/>
  <c r="C725" i="29"/>
  <c r="F725" i="29"/>
  <c r="G725" i="29"/>
  <c r="J725" i="29"/>
  <c r="K725" i="29"/>
  <c r="N725" i="29"/>
  <c r="O725" i="29"/>
  <c r="B726" i="29"/>
  <c r="C726" i="29"/>
  <c r="F726" i="29"/>
  <c r="G726" i="29"/>
  <c r="J726" i="29"/>
  <c r="K726" i="29"/>
  <c r="N726" i="29"/>
  <c r="O726" i="29"/>
  <c r="B727" i="29"/>
  <c r="C727" i="29"/>
  <c r="F727" i="29"/>
  <c r="G727" i="29"/>
  <c r="J727" i="29"/>
  <c r="K727" i="29"/>
  <c r="N727" i="29"/>
  <c r="O727" i="29"/>
  <c r="B728" i="29"/>
  <c r="C728" i="29"/>
  <c r="F728" i="29"/>
  <c r="G728" i="29"/>
  <c r="J728" i="29"/>
  <c r="K728" i="29"/>
  <c r="N728" i="29"/>
  <c r="O728" i="29"/>
  <c r="B729" i="29"/>
  <c r="C729" i="29"/>
  <c r="F729" i="29"/>
  <c r="G729" i="29"/>
  <c r="J729" i="29"/>
  <c r="K729" i="29"/>
  <c r="N729" i="29"/>
  <c r="O729" i="29"/>
  <c r="B730" i="29"/>
  <c r="C730" i="29"/>
  <c r="F730" i="29"/>
  <c r="G730" i="29"/>
  <c r="J730" i="29"/>
  <c r="K730" i="29"/>
  <c r="N730" i="29"/>
  <c r="O730" i="29"/>
  <c r="B731" i="29"/>
  <c r="C731" i="29"/>
  <c r="F731" i="29"/>
  <c r="G731" i="29"/>
  <c r="J731" i="29"/>
  <c r="K731" i="29"/>
  <c r="N731" i="29"/>
  <c r="O731" i="29"/>
  <c r="B732" i="29"/>
  <c r="C732" i="29"/>
  <c r="F732" i="29"/>
  <c r="G732" i="29"/>
  <c r="J732" i="29"/>
  <c r="K732" i="29"/>
  <c r="N732" i="29"/>
  <c r="O732" i="29"/>
  <c r="B733" i="29"/>
  <c r="C733" i="29"/>
  <c r="F733" i="29"/>
  <c r="G733" i="29"/>
  <c r="J733" i="29"/>
  <c r="K733" i="29"/>
  <c r="N733" i="29"/>
  <c r="O733" i="29"/>
  <c r="B734" i="29"/>
  <c r="C734" i="29"/>
  <c r="F734" i="29"/>
  <c r="G734" i="29"/>
  <c r="J734" i="29"/>
  <c r="K734" i="29"/>
  <c r="N734" i="29"/>
  <c r="O734" i="29"/>
  <c r="B735" i="29"/>
  <c r="C735" i="29"/>
  <c r="F735" i="29"/>
  <c r="G735" i="29"/>
  <c r="J735" i="29"/>
  <c r="K735" i="29"/>
  <c r="N735" i="29"/>
  <c r="O735" i="29"/>
  <c r="B736" i="29"/>
  <c r="C736" i="29"/>
  <c r="F736" i="29"/>
  <c r="G736" i="29"/>
  <c r="J736" i="29"/>
  <c r="K736" i="29"/>
  <c r="N736" i="29"/>
  <c r="O736" i="29"/>
  <c r="B737" i="29"/>
  <c r="C737" i="29"/>
  <c r="F737" i="29"/>
  <c r="G737" i="29"/>
  <c r="J737" i="29"/>
  <c r="K737" i="29"/>
  <c r="N737" i="29"/>
  <c r="O737" i="29"/>
  <c r="B738" i="29"/>
  <c r="C738" i="29"/>
  <c r="F738" i="29"/>
  <c r="G738" i="29"/>
  <c r="J738" i="29"/>
  <c r="K738" i="29"/>
  <c r="N738" i="29"/>
  <c r="O738" i="29"/>
  <c r="B739" i="29"/>
  <c r="C739" i="29"/>
  <c r="F739" i="29"/>
  <c r="G739" i="29"/>
  <c r="J739" i="29"/>
  <c r="K739" i="29"/>
  <c r="N739" i="29"/>
  <c r="O739" i="29"/>
  <c r="B740" i="29"/>
  <c r="C740" i="29"/>
  <c r="F740" i="29"/>
  <c r="G740" i="29"/>
  <c r="J740" i="29"/>
  <c r="K740" i="29"/>
  <c r="N740" i="29"/>
  <c r="O740" i="29"/>
  <c r="B741" i="29"/>
  <c r="C741" i="29"/>
  <c r="F741" i="29"/>
  <c r="G741" i="29"/>
  <c r="J741" i="29"/>
  <c r="K741" i="29"/>
  <c r="N741" i="29"/>
  <c r="O741" i="29"/>
  <c r="B742" i="29"/>
  <c r="C742" i="29"/>
  <c r="F742" i="29"/>
  <c r="G742" i="29"/>
  <c r="J742" i="29"/>
  <c r="K742" i="29"/>
  <c r="N742" i="29"/>
  <c r="O742" i="29"/>
  <c r="B743" i="29"/>
  <c r="C743" i="29"/>
  <c r="F743" i="29"/>
  <c r="G743" i="29"/>
  <c r="J743" i="29"/>
  <c r="K743" i="29"/>
  <c r="N743" i="29"/>
  <c r="O743" i="29"/>
  <c r="B744" i="29"/>
  <c r="C744" i="29"/>
  <c r="F744" i="29"/>
  <c r="G744" i="29"/>
  <c r="J744" i="29"/>
  <c r="K744" i="29"/>
  <c r="N744" i="29"/>
  <c r="O744" i="29"/>
  <c r="B745" i="29"/>
  <c r="C745" i="29"/>
  <c r="F745" i="29"/>
  <c r="G745" i="29"/>
  <c r="J745" i="29"/>
  <c r="K745" i="29"/>
  <c r="N745" i="29"/>
  <c r="O745" i="29"/>
  <c r="B746" i="29"/>
  <c r="C746" i="29"/>
  <c r="F746" i="29"/>
  <c r="G746" i="29"/>
  <c r="J746" i="29"/>
  <c r="K746" i="29"/>
  <c r="N746" i="29"/>
  <c r="O746" i="29"/>
  <c r="B747" i="29"/>
  <c r="C747" i="29"/>
  <c r="F747" i="29"/>
  <c r="G747" i="29"/>
  <c r="J747" i="29"/>
  <c r="K747" i="29"/>
  <c r="N747" i="29"/>
  <c r="O747" i="29"/>
  <c r="B748" i="29"/>
  <c r="C748" i="29"/>
  <c r="F748" i="29"/>
  <c r="G748" i="29"/>
  <c r="J748" i="29"/>
  <c r="K748" i="29"/>
  <c r="N748" i="29"/>
  <c r="O748" i="29"/>
  <c r="B749" i="29"/>
  <c r="C749" i="29"/>
  <c r="F749" i="29"/>
  <c r="G749" i="29"/>
  <c r="J749" i="29"/>
  <c r="K749" i="29"/>
  <c r="N749" i="29"/>
  <c r="O749" i="29"/>
  <c r="B750" i="29"/>
  <c r="C750" i="29"/>
  <c r="F750" i="29"/>
  <c r="G750" i="29"/>
  <c r="J750" i="29"/>
  <c r="K750" i="29"/>
  <c r="N750" i="29"/>
  <c r="O750" i="29"/>
  <c r="B751" i="29"/>
  <c r="C751" i="29"/>
  <c r="F751" i="29"/>
  <c r="G751" i="29"/>
  <c r="J751" i="29"/>
  <c r="K751" i="29"/>
  <c r="N751" i="29"/>
  <c r="O751" i="29"/>
  <c r="B752" i="29"/>
  <c r="C752" i="29"/>
  <c r="F752" i="29"/>
  <c r="G752" i="29"/>
  <c r="J752" i="29"/>
  <c r="K752" i="29"/>
  <c r="N752" i="29"/>
  <c r="O752" i="29"/>
  <c r="C753" i="29"/>
  <c r="G753" i="29"/>
  <c r="K753" i="29"/>
  <c r="O753" i="29"/>
  <c r="C754" i="29"/>
  <c r="G754" i="29"/>
  <c r="K754" i="29"/>
  <c r="O754" i="29"/>
  <c r="C755" i="29"/>
  <c r="G755" i="29"/>
  <c r="K755" i="29"/>
  <c r="O755" i="29"/>
  <c r="C756" i="29"/>
  <c r="G756" i="29"/>
  <c r="K756" i="29"/>
  <c r="O756" i="29"/>
  <c r="C757" i="29"/>
  <c r="G757" i="29"/>
  <c r="K757" i="29"/>
  <c r="O757" i="29"/>
  <c r="C758" i="29"/>
  <c r="G758" i="29"/>
  <c r="K758" i="29"/>
  <c r="O758" i="29"/>
  <c r="C759" i="29"/>
  <c r="G759" i="29"/>
  <c r="K759" i="29"/>
  <c r="O759" i="29"/>
  <c r="C760" i="29"/>
  <c r="G760" i="29"/>
  <c r="K760" i="29"/>
  <c r="O760" i="29"/>
  <c r="C761" i="29"/>
  <c r="G761" i="29"/>
  <c r="K761" i="29"/>
  <c r="O761" i="29"/>
  <c r="C762" i="29"/>
  <c r="G762" i="29"/>
  <c r="K762" i="29"/>
  <c r="O762" i="29"/>
  <c r="C763" i="29"/>
  <c r="G763" i="29"/>
  <c r="K763" i="29"/>
  <c r="O763" i="29"/>
  <c r="C764" i="29"/>
  <c r="G764" i="29"/>
  <c r="K764" i="29"/>
  <c r="O764" i="29"/>
  <c r="C765" i="29"/>
  <c r="G765" i="29"/>
  <c r="K765" i="29"/>
  <c r="O765" i="29"/>
  <c r="C766" i="29"/>
  <c r="G766" i="29"/>
  <c r="K766" i="29"/>
  <c r="O766" i="29"/>
  <c r="C767" i="29"/>
  <c r="G767" i="29"/>
  <c r="K767" i="29"/>
  <c r="O767" i="29"/>
  <c r="C768" i="29"/>
  <c r="G768" i="29"/>
  <c r="K768" i="29"/>
  <c r="O768" i="29"/>
  <c r="C769" i="29"/>
  <c r="G769" i="29"/>
  <c r="K769" i="29"/>
  <c r="O769" i="29"/>
  <c r="C770" i="29"/>
  <c r="G770" i="29"/>
  <c r="K770" i="29"/>
  <c r="O770" i="29"/>
  <c r="C771" i="29"/>
  <c r="G771" i="29"/>
  <c r="K771" i="29"/>
  <c r="O771" i="29"/>
  <c r="C772" i="29"/>
  <c r="G772" i="29"/>
  <c r="K772" i="29"/>
  <c r="O772" i="29"/>
  <c r="C773" i="29"/>
  <c r="G773" i="29"/>
  <c r="K773" i="29"/>
  <c r="O773" i="29"/>
  <c r="C774" i="29"/>
  <c r="G774" i="29"/>
  <c r="K774" i="29"/>
  <c r="O774" i="29"/>
  <c r="C775" i="29"/>
  <c r="G775" i="29"/>
  <c r="K775" i="29"/>
  <c r="O775" i="29"/>
  <c r="C776" i="29"/>
  <c r="G776" i="29"/>
  <c r="K776" i="29"/>
  <c r="O776" i="29"/>
  <c r="C777" i="29"/>
  <c r="G777" i="29"/>
  <c r="K777" i="29"/>
  <c r="O777" i="29"/>
  <c r="C778" i="29"/>
  <c r="G778" i="29"/>
  <c r="K778" i="29"/>
  <c r="O778" i="29"/>
  <c r="C779" i="29"/>
  <c r="G779" i="29"/>
  <c r="K779" i="29"/>
  <c r="O779" i="29"/>
  <c r="C780" i="29"/>
  <c r="G780" i="29"/>
  <c r="K780" i="29"/>
  <c r="O780" i="29"/>
  <c r="C781" i="29"/>
  <c r="G781" i="29"/>
  <c r="K781" i="29"/>
  <c r="O781" i="29"/>
  <c r="C782" i="29"/>
  <c r="G782" i="29"/>
  <c r="K782" i="29"/>
  <c r="O782" i="29"/>
  <c r="C783" i="29"/>
  <c r="G783" i="29"/>
  <c r="K783" i="29"/>
  <c r="O783" i="29"/>
  <c r="C784" i="29"/>
  <c r="G784" i="29"/>
  <c r="K784" i="29"/>
  <c r="O784" i="29"/>
  <c r="C785" i="29"/>
  <c r="G785" i="29"/>
  <c r="K785" i="29"/>
  <c r="O785" i="29"/>
  <c r="C786" i="29"/>
  <c r="G786" i="29"/>
  <c r="K786" i="29"/>
  <c r="O786" i="29"/>
  <c r="C787" i="29"/>
  <c r="G787" i="29"/>
  <c r="K787" i="29"/>
  <c r="O787" i="29"/>
  <c r="C788" i="29"/>
  <c r="G788" i="29"/>
  <c r="K788" i="29"/>
  <c r="O788" i="29"/>
  <c r="C789" i="29"/>
  <c r="G789" i="29"/>
  <c r="K789" i="29"/>
  <c r="O789" i="29"/>
  <c r="C790" i="29"/>
  <c r="G790" i="29"/>
  <c r="K790" i="29"/>
  <c r="O790" i="29"/>
  <c r="C791" i="29"/>
  <c r="G791" i="29"/>
  <c r="K791" i="29"/>
  <c r="O791" i="29"/>
  <c r="C792" i="29"/>
  <c r="G792" i="29"/>
  <c r="K792" i="29"/>
  <c r="O792" i="29"/>
  <c r="C793" i="29"/>
  <c r="G793" i="29"/>
  <c r="K793" i="29"/>
  <c r="O793" i="29"/>
  <c r="C794" i="29"/>
  <c r="G794" i="29"/>
  <c r="K794" i="29"/>
  <c r="O794" i="29"/>
  <c r="C795" i="29"/>
  <c r="G795" i="29"/>
  <c r="K795" i="29"/>
  <c r="O795" i="29"/>
  <c r="C796" i="29"/>
  <c r="G796" i="29"/>
  <c r="K796" i="29"/>
  <c r="O796" i="29"/>
  <c r="C797" i="29"/>
  <c r="G797" i="29"/>
  <c r="K797" i="29"/>
  <c r="O797" i="29"/>
  <c r="C798" i="29"/>
  <c r="G798" i="29"/>
  <c r="K798" i="29"/>
  <c r="O798" i="29"/>
  <c r="C799" i="29"/>
  <c r="G799" i="29"/>
  <c r="K799" i="29"/>
  <c r="O799" i="29"/>
  <c r="C800" i="29"/>
  <c r="G800" i="29"/>
  <c r="K800" i="29"/>
  <c r="O800" i="29"/>
  <c r="C801" i="29"/>
  <c r="G801" i="29"/>
  <c r="K801" i="29"/>
  <c r="O801" i="29"/>
  <c r="C802" i="29"/>
  <c r="G802" i="29"/>
  <c r="K802" i="29"/>
  <c r="O802" i="29"/>
  <c r="C803" i="29"/>
  <c r="G803" i="29"/>
  <c r="K803" i="29"/>
  <c r="O803" i="29"/>
  <c r="C804" i="29"/>
  <c r="G804" i="29"/>
  <c r="K804" i="29"/>
  <c r="O804" i="29"/>
  <c r="C805" i="29"/>
  <c r="G805" i="29"/>
  <c r="K805" i="29"/>
  <c r="O805" i="29"/>
  <c r="C806" i="29"/>
  <c r="G806" i="29"/>
  <c r="K806" i="29"/>
  <c r="O806" i="29"/>
  <c r="C807" i="29"/>
  <c r="G807" i="29"/>
  <c r="K807" i="29"/>
  <c r="O807" i="29"/>
  <c r="C808" i="29"/>
  <c r="G808" i="29"/>
  <c r="K808" i="29"/>
  <c r="O808" i="29"/>
  <c r="C809" i="29"/>
  <c r="G809" i="29"/>
  <c r="K809" i="29"/>
  <c r="O809" i="29"/>
  <c r="C810" i="29"/>
  <c r="G810" i="29"/>
  <c r="K810" i="29"/>
  <c r="O810" i="29"/>
  <c r="C811" i="29"/>
  <c r="G811" i="29"/>
  <c r="K811" i="29"/>
  <c r="O811" i="29"/>
  <c r="C812" i="29"/>
  <c r="G812" i="29"/>
  <c r="K812" i="29"/>
  <c r="O812" i="29"/>
  <c r="C813" i="29"/>
  <c r="G813" i="29"/>
  <c r="K813" i="29"/>
  <c r="O813" i="29"/>
  <c r="C814" i="29"/>
  <c r="G814" i="29"/>
  <c r="K814" i="29"/>
  <c r="O814" i="29"/>
  <c r="C815" i="29"/>
  <c r="G815" i="29"/>
  <c r="K815" i="29"/>
  <c r="O815" i="29"/>
  <c r="C816" i="29"/>
  <c r="G816" i="29"/>
  <c r="K816" i="29"/>
  <c r="O816" i="29"/>
  <c r="C817" i="29"/>
  <c r="G817" i="29"/>
  <c r="K817" i="29"/>
  <c r="O817" i="29"/>
  <c r="C818" i="29"/>
  <c r="G818" i="29"/>
  <c r="K818" i="29"/>
  <c r="O818" i="29"/>
  <c r="C819" i="29"/>
  <c r="G819" i="29"/>
  <c r="K819" i="29"/>
  <c r="O819" i="29"/>
  <c r="C820" i="29"/>
  <c r="G820" i="29"/>
  <c r="K820" i="29"/>
  <c r="O820" i="29"/>
  <c r="C821" i="29"/>
  <c r="G821" i="29"/>
  <c r="K821" i="29"/>
  <c r="O821" i="29"/>
  <c r="C822" i="29"/>
  <c r="G822" i="29"/>
  <c r="K822" i="29"/>
  <c r="O822" i="29"/>
  <c r="C823" i="29"/>
  <c r="G823" i="29"/>
  <c r="K823" i="29"/>
  <c r="O823" i="29"/>
  <c r="C824" i="29"/>
  <c r="G824" i="29"/>
  <c r="K824" i="29"/>
  <c r="O824" i="29"/>
  <c r="C825" i="29"/>
  <c r="G825" i="29"/>
  <c r="K825" i="29"/>
  <c r="O825" i="29"/>
  <c r="C826" i="29"/>
  <c r="G826" i="29"/>
  <c r="K826" i="29"/>
  <c r="O826" i="29"/>
  <c r="C827" i="29"/>
  <c r="G827" i="29"/>
  <c r="K827" i="29"/>
  <c r="O827" i="29"/>
  <c r="C828" i="29"/>
  <c r="G828" i="29"/>
  <c r="K828" i="29"/>
  <c r="O828" i="29"/>
  <c r="C829" i="29"/>
  <c r="G829" i="29"/>
  <c r="K829" i="29"/>
  <c r="O829" i="29"/>
  <c r="C830" i="29"/>
  <c r="G830" i="29"/>
  <c r="K830" i="29"/>
  <c r="O830" i="29"/>
  <c r="C831" i="29"/>
  <c r="G831" i="29"/>
  <c r="K831" i="29"/>
  <c r="O831" i="29"/>
  <c r="C832" i="29"/>
  <c r="G832" i="29"/>
  <c r="K832" i="29"/>
  <c r="O832" i="29"/>
  <c r="C833" i="29"/>
  <c r="G833" i="29"/>
  <c r="K833" i="29"/>
  <c r="O833" i="29"/>
  <c r="C834" i="29"/>
  <c r="G834" i="29"/>
  <c r="K834" i="29"/>
  <c r="O834" i="29"/>
  <c r="C835" i="29"/>
  <c r="G835" i="29"/>
  <c r="K835" i="29"/>
  <c r="O835" i="29"/>
  <c r="C836" i="29"/>
  <c r="G836" i="29"/>
  <c r="K836" i="29"/>
  <c r="O836" i="29"/>
  <c r="C837" i="29"/>
  <c r="G837" i="29"/>
  <c r="K837" i="29"/>
  <c r="O837" i="29"/>
  <c r="C838" i="29"/>
  <c r="G838" i="29"/>
  <c r="K838" i="29"/>
  <c r="O838" i="29"/>
  <c r="C839" i="29"/>
  <c r="G839" i="29"/>
  <c r="K839" i="29"/>
  <c r="O839" i="29"/>
  <c r="C840" i="29"/>
  <c r="G840" i="29"/>
  <c r="K840" i="29"/>
  <c r="O840" i="29"/>
  <c r="C841" i="29"/>
  <c r="G841" i="29"/>
  <c r="K841" i="29"/>
  <c r="O841" i="29"/>
  <c r="C842" i="29"/>
  <c r="G842" i="29"/>
  <c r="K842" i="29"/>
  <c r="O842" i="29"/>
  <c r="C843" i="29"/>
  <c r="G843" i="29"/>
  <c r="K843" i="29"/>
  <c r="O843" i="29"/>
  <c r="C844" i="29"/>
  <c r="G844" i="29"/>
  <c r="K844" i="29"/>
  <c r="O844" i="29"/>
  <c r="C845" i="29"/>
  <c r="G845" i="29"/>
  <c r="K845" i="29"/>
  <c r="O845" i="29"/>
  <c r="C846" i="29"/>
  <c r="G846" i="29"/>
  <c r="K846" i="29"/>
  <c r="O846" i="29"/>
  <c r="C847" i="29"/>
  <c r="G847" i="29"/>
  <c r="K847" i="29"/>
  <c r="O847" i="29"/>
  <c r="C848" i="29"/>
  <c r="G848" i="29"/>
  <c r="K848" i="29"/>
  <c r="O848" i="29"/>
  <c r="C849" i="29"/>
  <c r="G849" i="29"/>
  <c r="K849" i="29"/>
  <c r="O849" i="29"/>
  <c r="C850" i="29"/>
  <c r="G850" i="29"/>
  <c r="K850" i="29"/>
  <c r="O850" i="29"/>
  <c r="C851" i="29"/>
  <c r="G851" i="29"/>
  <c r="K851" i="29"/>
  <c r="O851" i="29"/>
  <c r="C852" i="29"/>
  <c r="G852" i="29"/>
  <c r="K852" i="29"/>
  <c r="O852" i="29"/>
  <c r="C853" i="29"/>
  <c r="G853" i="29"/>
  <c r="K853" i="29"/>
  <c r="O853" i="29"/>
  <c r="C854" i="29"/>
  <c r="G854" i="29"/>
  <c r="K854" i="29"/>
  <c r="O854" i="29"/>
  <c r="C855" i="29"/>
  <c r="G855" i="29"/>
  <c r="K855" i="29"/>
  <c r="O855" i="29"/>
  <c r="C856" i="29"/>
  <c r="G856" i="29"/>
  <c r="K856" i="29"/>
  <c r="O856" i="29"/>
  <c r="C857" i="29"/>
  <c r="G857" i="29"/>
  <c r="K857" i="29"/>
  <c r="O857" i="29"/>
  <c r="C858" i="29"/>
  <c r="G858" i="29"/>
  <c r="K858" i="29"/>
  <c r="O858" i="29"/>
  <c r="C859" i="29"/>
  <c r="G859" i="29"/>
  <c r="K859" i="29"/>
  <c r="O859" i="29"/>
  <c r="C860" i="29"/>
  <c r="G860" i="29"/>
  <c r="K860" i="29"/>
  <c r="O860" i="29"/>
  <c r="C861" i="29"/>
  <c r="G861" i="29"/>
  <c r="K861" i="29"/>
  <c r="O861" i="29"/>
  <c r="C862" i="29"/>
  <c r="G862" i="29"/>
  <c r="K862" i="29"/>
  <c r="O862" i="29"/>
  <c r="C863" i="29"/>
  <c r="G863" i="29"/>
  <c r="K863" i="29"/>
  <c r="O863" i="29"/>
  <c r="C864" i="29"/>
  <c r="G864" i="29"/>
  <c r="K864" i="29"/>
  <c r="O864" i="29"/>
  <c r="C865" i="29"/>
  <c r="G865" i="29"/>
  <c r="K865" i="29"/>
  <c r="O865" i="29"/>
  <c r="C866" i="29"/>
  <c r="G866" i="29"/>
  <c r="K866" i="29"/>
  <c r="O866" i="29"/>
  <c r="C867" i="29"/>
  <c r="G867" i="29"/>
  <c r="K867" i="29"/>
  <c r="O867" i="29"/>
  <c r="C868" i="29"/>
  <c r="G868" i="29"/>
  <c r="K868" i="29"/>
  <c r="O868" i="29"/>
  <c r="C869" i="29"/>
  <c r="G869" i="29"/>
  <c r="K869" i="29"/>
  <c r="O869" i="29"/>
  <c r="C870" i="29"/>
  <c r="G870" i="29"/>
  <c r="K870" i="29"/>
  <c r="O870" i="29"/>
  <c r="C871" i="29"/>
  <c r="G871" i="29"/>
  <c r="K871" i="29"/>
  <c r="O871" i="29"/>
  <c r="C872" i="29"/>
  <c r="G872" i="29"/>
  <c r="K872" i="29"/>
  <c r="O872" i="29"/>
  <c r="C873" i="29"/>
  <c r="G873" i="29"/>
  <c r="K873" i="29"/>
  <c r="O873" i="29"/>
  <c r="C874" i="29"/>
  <c r="G874" i="29"/>
  <c r="K874" i="29"/>
  <c r="O874" i="29"/>
  <c r="C875" i="29"/>
  <c r="G875" i="29"/>
  <c r="K875" i="29"/>
  <c r="O875" i="29"/>
  <c r="C876" i="29"/>
  <c r="G876" i="29"/>
  <c r="K876" i="29"/>
  <c r="O876" i="29"/>
  <c r="C877" i="29"/>
  <c r="G877" i="29"/>
  <c r="K877" i="29"/>
  <c r="O877" i="29"/>
  <c r="C878" i="29"/>
  <c r="G878" i="29"/>
  <c r="K878" i="29"/>
  <c r="O878" i="29"/>
  <c r="C879" i="29"/>
  <c r="G879" i="29"/>
  <c r="K879" i="29"/>
  <c r="O879" i="29"/>
  <c r="C880" i="29"/>
  <c r="G880" i="29"/>
  <c r="K880" i="29"/>
  <c r="O880" i="29"/>
  <c r="C881" i="29"/>
  <c r="G881" i="29"/>
  <c r="K881" i="29"/>
  <c r="O881" i="29"/>
  <c r="C882" i="29"/>
  <c r="G882" i="29"/>
  <c r="K882" i="29"/>
  <c r="O882" i="29"/>
  <c r="C883" i="29"/>
  <c r="G883" i="29"/>
  <c r="K883" i="29"/>
  <c r="O883" i="29"/>
  <c r="C884" i="29"/>
  <c r="G884" i="29"/>
  <c r="K884" i="29"/>
  <c r="O884" i="29"/>
  <c r="C885" i="29"/>
  <c r="G885" i="29"/>
  <c r="K885" i="29"/>
  <c r="O885" i="29"/>
  <c r="C886" i="29"/>
  <c r="G886" i="29"/>
  <c r="K886" i="29"/>
  <c r="O886" i="29"/>
  <c r="C887" i="29"/>
  <c r="G887" i="29"/>
  <c r="K887" i="29"/>
  <c r="O887" i="29"/>
  <c r="C888" i="29"/>
  <c r="G888" i="29"/>
  <c r="K888" i="29"/>
  <c r="O888" i="29"/>
  <c r="C889" i="29"/>
  <c r="G889" i="29"/>
  <c r="K889" i="29"/>
  <c r="O889" i="29"/>
  <c r="C890" i="29"/>
  <c r="G890" i="29"/>
  <c r="K890" i="29"/>
  <c r="O890" i="29"/>
  <c r="C891" i="29"/>
  <c r="G891" i="29"/>
  <c r="K891" i="29"/>
  <c r="O891" i="29"/>
  <c r="C892" i="29"/>
  <c r="G892" i="29"/>
  <c r="K892" i="29"/>
  <c r="O892" i="29"/>
  <c r="C893" i="29"/>
  <c r="G893" i="29"/>
  <c r="K893" i="29"/>
  <c r="O893" i="29"/>
  <c r="C894" i="29"/>
  <c r="G894" i="29"/>
  <c r="K894" i="29"/>
  <c r="O894" i="29"/>
  <c r="C895" i="29"/>
  <c r="G895" i="29"/>
  <c r="K895" i="29"/>
  <c r="O895" i="29"/>
  <c r="C896" i="29"/>
  <c r="G896" i="29"/>
  <c r="K896" i="29"/>
  <c r="O896" i="29"/>
  <c r="C897" i="29"/>
  <c r="G897" i="29"/>
  <c r="K897" i="29"/>
  <c r="O897" i="29"/>
  <c r="C898" i="29"/>
  <c r="G898" i="29"/>
  <c r="K898" i="29"/>
  <c r="O898" i="29"/>
  <c r="C899" i="29"/>
  <c r="G899" i="29"/>
  <c r="K899" i="29"/>
  <c r="O899" i="29"/>
  <c r="C900" i="29"/>
  <c r="G900" i="29"/>
  <c r="K900" i="29"/>
  <c r="O900" i="29"/>
  <c r="C901" i="29"/>
  <c r="G901" i="29"/>
  <c r="K901" i="29"/>
  <c r="O901" i="29"/>
  <c r="B902" i="29"/>
  <c r="C902" i="29"/>
  <c r="F902" i="29"/>
  <c r="G902" i="29"/>
  <c r="J902" i="29"/>
  <c r="K902" i="29"/>
  <c r="N902" i="29"/>
  <c r="O902" i="29"/>
  <c r="B903" i="29"/>
  <c r="C903" i="29"/>
  <c r="F903" i="29"/>
  <c r="G903" i="29"/>
  <c r="J903" i="29"/>
  <c r="K903" i="29"/>
  <c r="N903" i="29"/>
  <c r="O903" i="29"/>
  <c r="B904" i="29"/>
  <c r="C904" i="29"/>
  <c r="F904" i="29"/>
  <c r="G904" i="29"/>
  <c r="J904" i="29"/>
  <c r="K904" i="29"/>
  <c r="N904" i="29"/>
  <c r="O904" i="29"/>
  <c r="B905" i="29"/>
  <c r="C905" i="29"/>
  <c r="F905" i="29"/>
  <c r="G905" i="29"/>
  <c r="J905" i="29"/>
  <c r="K905" i="29"/>
  <c r="N905" i="29"/>
  <c r="O905" i="29"/>
  <c r="B906" i="29"/>
  <c r="C906" i="29"/>
  <c r="F906" i="29"/>
  <c r="G906" i="29"/>
  <c r="J906" i="29"/>
  <c r="K906" i="29"/>
  <c r="N906" i="29"/>
  <c r="O906" i="29"/>
  <c r="B907" i="29"/>
  <c r="C907" i="29"/>
  <c r="F907" i="29"/>
  <c r="G907" i="29"/>
  <c r="J907" i="29"/>
  <c r="K907" i="29"/>
  <c r="N907" i="29"/>
  <c r="O907" i="29"/>
  <c r="B908" i="29"/>
  <c r="C908" i="29"/>
  <c r="F908" i="29"/>
  <c r="G908" i="29"/>
  <c r="J908" i="29"/>
  <c r="K908" i="29"/>
  <c r="N908" i="29"/>
  <c r="O908" i="29"/>
  <c r="B909" i="29"/>
  <c r="C909" i="29"/>
  <c r="F909" i="29"/>
  <c r="G909" i="29"/>
  <c r="J909" i="29"/>
  <c r="K909" i="29"/>
  <c r="N909" i="29"/>
  <c r="O909" i="29"/>
  <c r="B910" i="29"/>
  <c r="C910" i="29"/>
  <c r="F910" i="29"/>
  <c r="G910" i="29"/>
  <c r="J910" i="29"/>
  <c r="K910" i="29"/>
  <c r="N910" i="29"/>
  <c r="O910" i="29"/>
  <c r="B911" i="29"/>
  <c r="C911" i="29"/>
  <c r="F911" i="29"/>
  <c r="G911" i="29"/>
  <c r="J911" i="29"/>
  <c r="K911" i="29"/>
  <c r="N911" i="29"/>
  <c r="O911" i="29"/>
  <c r="B912" i="29"/>
  <c r="C912" i="29"/>
  <c r="F912" i="29"/>
  <c r="G912" i="29"/>
  <c r="J912" i="29"/>
  <c r="K912" i="29"/>
  <c r="N912" i="29"/>
  <c r="O912" i="29"/>
  <c r="B913" i="29"/>
  <c r="C913" i="29"/>
  <c r="F913" i="29"/>
  <c r="G913" i="29"/>
  <c r="J913" i="29"/>
  <c r="K913" i="29"/>
  <c r="N913" i="29"/>
  <c r="O913" i="29"/>
  <c r="B914" i="29"/>
  <c r="C914" i="29"/>
  <c r="F914" i="29"/>
  <c r="G914" i="29"/>
  <c r="J914" i="29"/>
  <c r="K914" i="29"/>
  <c r="N914" i="29"/>
  <c r="O914" i="29"/>
  <c r="B915" i="29"/>
  <c r="C915" i="29"/>
  <c r="F915" i="29"/>
  <c r="G915" i="29"/>
  <c r="J915" i="29"/>
  <c r="K915" i="29"/>
  <c r="N915" i="29"/>
  <c r="O915" i="29"/>
  <c r="B916" i="29"/>
  <c r="C916" i="29"/>
  <c r="F916" i="29"/>
  <c r="G916" i="29"/>
  <c r="J916" i="29"/>
  <c r="K916" i="29"/>
  <c r="N916" i="29"/>
  <c r="O916" i="29"/>
  <c r="B917" i="29"/>
  <c r="C917" i="29"/>
  <c r="F917" i="29"/>
  <c r="G917" i="29"/>
  <c r="J917" i="29"/>
  <c r="K917" i="29"/>
  <c r="N917" i="29"/>
  <c r="O917" i="29"/>
  <c r="B918" i="29"/>
  <c r="C918" i="29"/>
  <c r="F918" i="29"/>
  <c r="G918" i="29"/>
  <c r="J918" i="29"/>
  <c r="K918" i="29"/>
  <c r="N918" i="29"/>
  <c r="O918" i="29"/>
  <c r="B919" i="29"/>
  <c r="C919" i="29"/>
  <c r="F919" i="29"/>
  <c r="G919" i="29"/>
  <c r="J919" i="29"/>
  <c r="K919" i="29"/>
  <c r="N919" i="29"/>
  <c r="O919" i="29"/>
  <c r="B920" i="29"/>
  <c r="C920" i="29"/>
  <c r="F920" i="29"/>
  <c r="G920" i="29"/>
  <c r="J920" i="29"/>
  <c r="K920" i="29"/>
  <c r="N920" i="29"/>
  <c r="O920" i="29"/>
  <c r="B921" i="29"/>
  <c r="C921" i="29"/>
  <c r="F921" i="29"/>
  <c r="G921" i="29"/>
  <c r="J921" i="29"/>
  <c r="K921" i="29"/>
  <c r="N921" i="29"/>
  <c r="O921" i="29"/>
  <c r="B922" i="29"/>
  <c r="C922" i="29"/>
  <c r="F922" i="29"/>
  <c r="G922" i="29"/>
  <c r="J922" i="29"/>
  <c r="K922" i="29"/>
  <c r="N922" i="29"/>
  <c r="O922" i="29"/>
  <c r="B923" i="29"/>
  <c r="C923" i="29"/>
  <c r="F923" i="29"/>
  <c r="G923" i="29"/>
  <c r="J923" i="29"/>
  <c r="K923" i="29"/>
  <c r="N923" i="29"/>
  <c r="O923" i="29"/>
  <c r="B924" i="29"/>
  <c r="C924" i="29"/>
  <c r="F924" i="29"/>
  <c r="G924" i="29"/>
  <c r="J924" i="29"/>
  <c r="K924" i="29"/>
  <c r="N924" i="29"/>
  <c r="O924" i="29"/>
  <c r="B925" i="29"/>
  <c r="C925" i="29"/>
  <c r="F925" i="29"/>
  <c r="G925" i="29"/>
  <c r="J925" i="29"/>
  <c r="K925" i="29"/>
  <c r="N925" i="29"/>
  <c r="O925" i="29"/>
  <c r="B926" i="29"/>
  <c r="C926" i="29"/>
  <c r="F926" i="29"/>
  <c r="G926" i="29"/>
  <c r="J926" i="29"/>
  <c r="K926" i="29"/>
  <c r="N926" i="29"/>
  <c r="O926" i="29"/>
  <c r="B927" i="29"/>
  <c r="C927" i="29"/>
  <c r="F927" i="29"/>
  <c r="G927" i="29"/>
  <c r="J927" i="29"/>
  <c r="K927" i="29"/>
  <c r="N927" i="29"/>
  <c r="O927" i="29"/>
  <c r="B928" i="29"/>
  <c r="C928" i="29"/>
  <c r="F928" i="29"/>
  <c r="G928" i="29"/>
  <c r="J928" i="29"/>
  <c r="K928" i="29"/>
  <c r="N928" i="29"/>
  <c r="O928" i="29"/>
  <c r="B929" i="29"/>
  <c r="C929" i="29"/>
  <c r="F929" i="29"/>
  <c r="G929" i="29"/>
  <c r="J929" i="29"/>
  <c r="K929" i="29"/>
  <c r="N929" i="29"/>
  <c r="O929" i="29"/>
  <c r="B930" i="29"/>
  <c r="C930" i="29"/>
  <c r="F930" i="29"/>
  <c r="G930" i="29"/>
  <c r="J930" i="29"/>
  <c r="K930" i="29"/>
  <c r="N930" i="29"/>
  <c r="O930" i="29"/>
  <c r="B931" i="29"/>
  <c r="C931" i="29"/>
  <c r="F931" i="29"/>
  <c r="G931" i="29"/>
  <c r="J931" i="29"/>
  <c r="K931" i="29"/>
  <c r="N931" i="29"/>
  <c r="O931" i="29"/>
  <c r="B932" i="29"/>
  <c r="C932" i="29"/>
  <c r="F932" i="29"/>
  <c r="G932" i="29"/>
  <c r="J932" i="29"/>
  <c r="K932" i="29"/>
  <c r="N932" i="29"/>
  <c r="O932" i="29"/>
  <c r="C933" i="29"/>
  <c r="G933" i="29"/>
  <c r="K933" i="29"/>
  <c r="O933" i="29"/>
  <c r="C934" i="29"/>
  <c r="G934" i="29"/>
  <c r="K934" i="29"/>
  <c r="O934" i="29"/>
  <c r="C935" i="29"/>
  <c r="G935" i="29"/>
  <c r="K935" i="29"/>
  <c r="O935" i="29"/>
  <c r="C936" i="29"/>
  <c r="G936" i="29"/>
  <c r="K936" i="29"/>
  <c r="O936" i="29"/>
  <c r="C937" i="29"/>
  <c r="G937" i="29"/>
  <c r="K937" i="29"/>
  <c r="O937" i="29"/>
  <c r="C938" i="29"/>
  <c r="G938" i="29"/>
  <c r="K938" i="29"/>
  <c r="O938" i="29"/>
  <c r="C939" i="29"/>
  <c r="G939" i="29"/>
  <c r="K939" i="29"/>
  <c r="O939" i="29"/>
  <c r="C940" i="29"/>
  <c r="G940" i="29"/>
  <c r="K940" i="29"/>
  <c r="O940" i="29"/>
  <c r="C941" i="29"/>
  <c r="G941" i="29"/>
  <c r="K941" i="29"/>
  <c r="O941" i="29"/>
  <c r="C942" i="29"/>
  <c r="G942" i="29"/>
  <c r="K942" i="29"/>
  <c r="O942" i="29"/>
  <c r="C943" i="29"/>
  <c r="G943" i="29"/>
  <c r="K943" i="29"/>
  <c r="O943" i="29"/>
  <c r="C944" i="29"/>
  <c r="G944" i="29"/>
  <c r="K944" i="29"/>
  <c r="O944" i="29"/>
  <c r="C945" i="29"/>
  <c r="G945" i="29"/>
  <c r="K945" i="29"/>
  <c r="O945" i="29"/>
  <c r="C946" i="29"/>
  <c r="G946" i="29"/>
  <c r="K946" i="29"/>
  <c r="O946" i="29"/>
  <c r="C947" i="29"/>
  <c r="G947" i="29"/>
  <c r="K947" i="29"/>
  <c r="O947" i="29"/>
  <c r="C948" i="29"/>
  <c r="G948" i="29"/>
  <c r="K948" i="29"/>
  <c r="O948" i="29"/>
  <c r="C949" i="29"/>
  <c r="G949" i="29"/>
  <c r="K949" i="29"/>
  <c r="O949" i="29"/>
  <c r="C950" i="29"/>
  <c r="G950" i="29"/>
  <c r="K950" i="29"/>
  <c r="O950" i="29"/>
  <c r="C951" i="29"/>
  <c r="G951" i="29"/>
  <c r="K951" i="29"/>
  <c r="O951" i="29"/>
  <c r="C952" i="29"/>
  <c r="G952" i="29"/>
  <c r="K952" i="29"/>
  <c r="O952" i="29"/>
  <c r="C953" i="29"/>
  <c r="G953" i="29"/>
  <c r="K953" i="29"/>
  <c r="O953" i="29"/>
  <c r="C954" i="29"/>
  <c r="G954" i="29"/>
  <c r="K954" i="29"/>
  <c r="O954" i="29"/>
  <c r="C955" i="29"/>
  <c r="G955" i="29"/>
  <c r="K955" i="29"/>
  <c r="O955" i="29"/>
  <c r="C956" i="29"/>
  <c r="G956" i="29"/>
  <c r="K956" i="29"/>
  <c r="O956" i="29"/>
  <c r="C957" i="29"/>
  <c r="G957" i="29"/>
  <c r="K957" i="29"/>
  <c r="O957" i="29"/>
  <c r="C958" i="29"/>
  <c r="G958" i="29"/>
  <c r="K958" i="29"/>
  <c r="O958" i="29"/>
  <c r="C959" i="29"/>
  <c r="G959" i="29"/>
  <c r="K959" i="29"/>
  <c r="O959" i="29"/>
  <c r="C960" i="29"/>
  <c r="G960" i="29"/>
  <c r="K960" i="29"/>
  <c r="O960" i="29"/>
  <c r="C961" i="29"/>
  <c r="G961" i="29"/>
  <c r="K961" i="29"/>
  <c r="O961" i="29"/>
  <c r="C962" i="29"/>
  <c r="G962" i="29"/>
  <c r="K962" i="29"/>
  <c r="O962" i="29"/>
  <c r="C963" i="29"/>
  <c r="G963" i="29"/>
  <c r="K963" i="29"/>
  <c r="O963" i="29"/>
  <c r="C964" i="29"/>
  <c r="G964" i="29"/>
  <c r="K964" i="29"/>
  <c r="O964" i="29"/>
  <c r="C965" i="29"/>
  <c r="G965" i="29"/>
  <c r="K965" i="29"/>
  <c r="O965" i="29"/>
  <c r="C966" i="29"/>
  <c r="G966" i="29"/>
  <c r="K966" i="29"/>
  <c r="O966" i="29"/>
  <c r="C967" i="29"/>
  <c r="G967" i="29"/>
  <c r="K967" i="29"/>
  <c r="O967" i="29"/>
  <c r="C968" i="29"/>
  <c r="G968" i="29"/>
  <c r="K968" i="29"/>
  <c r="O968" i="29"/>
  <c r="C969" i="29"/>
  <c r="G969" i="29"/>
  <c r="K969" i="29"/>
  <c r="O969" i="29"/>
  <c r="C970" i="29"/>
  <c r="G970" i="29"/>
  <c r="K970" i="29"/>
  <c r="O970" i="29"/>
  <c r="C971" i="29"/>
  <c r="G971" i="29"/>
  <c r="K971" i="29"/>
  <c r="O971" i="29"/>
  <c r="C972" i="29"/>
  <c r="G972" i="29"/>
  <c r="K972" i="29"/>
  <c r="O972" i="29"/>
  <c r="C973" i="29"/>
  <c r="G973" i="29"/>
  <c r="K973" i="29"/>
  <c r="O973" i="29"/>
  <c r="C974" i="29"/>
  <c r="G974" i="29"/>
  <c r="K974" i="29"/>
  <c r="O974" i="29"/>
  <c r="C975" i="29"/>
  <c r="G975" i="29"/>
  <c r="K975" i="29"/>
  <c r="O975" i="29"/>
  <c r="C976" i="29"/>
  <c r="G976" i="29"/>
  <c r="K976" i="29"/>
  <c r="O976" i="29"/>
  <c r="C977" i="29"/>
  <c r="G977" i="29"/>
  <c r="K977" i="29"/>
  <c r="O977" i="29"/>
  <c r="C978" i="29"/>
  <c r="G978" i="29"/>
  <c r="K978" i="29"/>
  <c r="O978" i="29"/>
  <c r="C979" i="29"/>
  <c r="G979" i="29"/>
  <c r="K979" i="29"/>
  <c r="O979" i="29"/>
  <c r="C980" i="29"/>
  <c r="G980" i="29"/>
  <c r="K980" i="29"/>
  <c r="O980" i="29"/>
  <c r="C981" i="29"/>
  <c r="G981" i="29"/>
  <c r="K981" i="29"/>
  <c r="O981" i="29"/>
  <c r="C982" i="29"/>
  <c r="G982" i="29"/>
  <c r="K982" i="29"/>
  <c r="O982" i="29"/>
  <c r="C983" i="29"/>
  <c r="G983" i="29"/>
  <c r="K983" i="29"/>
  <c r="O983" i="29"/>
  <c r="C984" i="29"/>
  <c r="G984" i="29"/>
  <c r="K984" i="29"/>
  <c r="O984" i="29"/>
  <c r="C985" i="29"/>
  <c r="G985" i="29"/>
  <c r="K985" i="29"/>
  <c r="O985" i="29"/>
  <c r="C986" i="29"/>
  <c r="G986" i="29"/>
  <c r="K986" i="29"/>
  <c r="O986" i="29"/>
  <c r="C987" i="29"/>
  <c r="G987" i="29"/>
  <c r="K987" i="29"/>
  <c r="O987" i="29"/>
  <c r="C988" i="29"/>
  <c r="G988" i="29"/>
  <c r="K988" i="29"/>
  <c r="O988" i="29"/>
  <c r="C989" i="29"/>
  <c r="G989" i="29"/>
  <c r="K989" i="29"/>
  <c r="O989" i="29"/>
  <c r="C990" i="29"/>
  <c r="G990" i="29"/>
  <c r="K990" i="29"/>
  <c r="O990" i="29"/>
  <c r="C991" i="29"/>
  <c r="G991" i="29"/>
  <c r="K991" i="29"/>
  <c r="O991" i="29"/>
  <c r="C992" i="29"/>
  <c r="G992" i="29"/>
  <c r="K992" i="29"/>
  <c r="O992" i="29"/>
  <c r="C993" i="29"/>
  <c r="G993" i="29"/>
  <c r="K993" i="29"/>
  <c r="O993" i="29"/>
  <c r="C994" i="29"/>
  <c r="G994" i="29"/>
  <c r="K994" i="29"/>
  <c r="O994" i="29"/>
  <c r="C995" i="29"/>
  <c r="G995" i="29"/>
  <c r="K995" i="29"/>
  <c r="O995" i="29"/>
  <c r="C996" i="29"/>
  <c r="G996" i="29"/>
  <c r="K996" i="29"/>
  <c r="O996" i="29"/>
  <c r="C997" i="29"/>
  <c r="G997" i="29"/>
  <c r="K997" i="29"/>
  <c r="O997" i="29"/>
  <c r="C998" i="29"/>
  <c r="G998" i="29"/>
  <c r="K998" i="29"/>
  <c r="O998" i="29"/>
  <c r="C999" i="29"/>
  <c r="G999" i="29"/>
  <c r="K999" i="29"/>
  <c r="O999" i="29"/>
  <c r="C1000" i="29"/>
  <c r="G1000" i="29"/>
  <c r="K1000" i="29"/>
  <c r="O1000" i="29"/>
  <c r="C1001" i="29"/>
  <c r="G1001" i="29"/>
  <c r="K1001" i="29"/>
  <c r="O1001" i="29"/>
  <c r="C1002" i="29"/>
  <c r="G1002" i="29"/>
  <c r="K1002" i="29"/>
  <c r="O1002" i="29"/>
  <c r="C1003" i="29"/>
  <c r="G1003" i="29"/>
  <c r="K1003" i="29"/>
  <c r="O1003" i="29"/>
  <c r="C1004" i="29"/>
  <c r="G1004" i="29"/>
  <c r="K1004" i="29"/>
  <c r="O1004" i="29"/>
  <c r="C1005" i="29"/>
  <c r="G1005" i="29"/>
  <c r="K1005" i="29"/>
  <c r="O1005" i="29"/>
  <c r="C1006" i="29"/>
  <c r="G1006" i="29"/>
  <c r="K1006" i="29"/>
  <c r="O1006" i="29"/>
  <c r="C1007" i="29"/>
  <c r="G1007" i="29"/>
  <c r="K1007" i="29"/>
  <c r="O1007" i="29"/>
  <c r="C1008" i="29"/>
  <c r="G1008" i="29"/>
  <c r="K1008" i="29"/>
  <c r="O1008" i="29"/>
  <c r="C1009" i="29"/>
  <c r="G1009" i="29"/>
  <c r="K1009" i="29"/>
  <c r="O1009" i="29"/>
  <c r="C1010" i="29"/>
  <c r="G1010" i="29"/>
  <c r="K1010" i="29"/>
  <c r="O1010" i="29"/>
  <c r="C1011" i="29"/>
  <c r="G1011" i="29"/>
  <c r="K1011" i="29"/>
  <c r="O1011" i="29"/>
  <c r="C1012" i="29"/>
  <c r="G1012" i="29"/>
  <c r="K1012" i="29"/>
  <c r="O1012" i="29"/>
  <c r="C1013" i="29"/>
  <c r="G1013" i="29"/>
  <c r="K1013" i="29"/>
  <c r="O1013" i="29"/>
  <c r="C1014" i="29"/>
  <c r="G1014" i="29"/>
  <c r="K1014" i="29"/>
  <c r="O1014" i="29"/>
  <c r="C1015" i="29"/>
  <c r="G1015" i="29"/>
  <c r="K1015" i="29"/>
  <c r="O1015" i="29"/>
  <c r="C1016" i="29"/>
  <c r="G1016" i="29"/>
  <c r="K1016" i="29"/>
  <c r="O1016" i="29"/>
  <c r="C1017" i="29"/>
  <c r="G1017" i="29"/>
  <c r="K1017" i="29"/>
  <c r="O1017" i="29"/>
  <c r="C1018" i="29"/>
  <c r="G1018" i="29"/>
  <c r="K1018" i="29"/>
  <c r="O1018" i="29"/>
  <c r="C1019" i="29"/>
  <c r="G1019" i="29"/>
  <c r="K1019" i="29"/>
  <c r="O1019" i="29"/>
  <c r="C1020" i="29"/>
  <c r="G1020" i="29"/>
  <c r="K1020" i="29"/>
  <c r="O1020" i="29"/>
  <c r="C1021" i="29"/>
  <c r="G1021" i="29"/>
  <c r="K1021" i="29"/>
  <c r="O1021" i="29"/>
  <c r="C1022" i="29"/>
  <c r="G1022" i="29"/>
  <c r="K1022" i="29"/>
  <c r="O1022" i="29"/>
  <c r="C1023" i="29"/>
  <c r="G1023" i="29"/>
  <c r="K1023" i="29"/>
  <c r="O1023" i="29"/>
  <c r="C1024" i="29"/>
  <c r="G1024" i="29"/>
  <c r="K1024" i="29"/>
  <c r="O1024" i="29"/>
  <c r="C1025" i="29"/>
  <c r="G1025" i="29"/>
  <c r="K1025" i="29"/>
  <c r="O1025" i="29"/>
  <c r="C1026" i="29"/>
  <c r="G1026" i="29"/>
  <c r="K1026" i="29"/>
  <c r="O1026" i="29"/>
  <c r="C1027" i="29"/>
  <c r="G1027" i="29"/>
  <c r="K1027" i="29"/>
  <c r="O1027" i="29"/>
  <c r="C1028" i="29"/>
  <c r="G1028" i="29"/>
  <c r="K1028" i="29"/>
  <c r="O1028" i="29"/>
  <c r="C1029" i="29"/>
  <c r="G1029" i="29"/>
  <c r="K1029" i="29"/>
  <c r="O1029" i="29"/>
  <c r="C1030" i="29"/>
  <c r="G1030" i="29"/>
  <c r="K1030" i="29"/>
  <c r="O1030" i="29"/>
  <c r="C1031" i="29"/>
  <c r="G1031" i="29"/>
  <c r="K1031" i="29"/>
  <c r="O1031" i="29"/>
  <c r="C1032" i="29"/>
  <c r="G1032" i="29"/>
  <c r="K1032" i="29"/>
  <c r="O1032" i="29"/>
  <c r="C1033" i="29"/>
  <c r="G1033" i="29"/>
  <c r="K1033" i="29"/>
  <c r="O1033" i="29"/>
  <c r="C1034" i="29"/>
  <c r="G1034" i="29"/>
  <c r="K1034" i="29"/>
  <c r="O1034" i="29"/>
  <c r="C1035" i="29"/>
  <c r="G1035" i="29"/>
  <c r="K1035" i="29"/>
  <c r="O1035" i="29"/>
  <c r="C1036" i="29"/>
  <c r="G1036" i="29"/>
  <c r="K1036" i="29"/>
  <c r="O1036" i="29"/>
  <c r="C1037" i="29"/>
  <c r="G1037" i="29"/>
  <c r="K1037" i="29"/>
  <c r="O1037" i="29"/>
  <c r="C1038" i="29"/>
  <c r="G1038" i="29"/>
  <c r="K1038" i="29"/>
  <c r="O1038" i="29"/>
  <c r="C1039" i="29"/>
  <c r="G1039" i="29"/>
  <c r="K1039" i="29"/>
  <c r="O1039" i="29"/>
  <c r="C1040" i="29"/>
  <c r="G1040" i="29"/>
  <c r="K1040" i="29"/>
  <c r="O1040" i="29"/>
  <c r="C1041" i="29"/>
  <c r="G1041" i="29"/>
  <c r="K1041" i="29"/>
  <c r="O1041" i="29"/>
  <c r="C1042" i="29"/>
  <c r="G1042" i="29"/>
  <c r="K1042" i="29"/>
  <c r="O1042" i="29"/>
  <c r="C1043" i="29"/>
  <c r="G1043" i="29"/>
  <c r="K1043" i="29"/>
  <c r="O1043" i="29"/>
  <c r="C1044" i="29"/>
  <c r="G1044" i="29"/>
  <c r="K1044" i="29"/>
  <c r="O1044" i="29"/>
  <c r="C1045" i="29"/>
  <c r="G1045" i="29"/>
  <c r="K1045" i="29"/>
  <c r="O1045" i="29"/>
  <c r="C1046" i="29"/>
  <c r="G1046" i="29"/>
  <c r="K1046" i="29"/>
  <c r="O1046" i="29"/>
  <c r="C1047" i="29"/>
  <c r="G1047" i="29"/>
  <c r="K1047" i="29"/>
  <c r="O1047" i="29"/>
  <c r="C1048" i="29"/>
  <c r="G1048" i="29"/>
  <c r="K1048" i="29"/>
  <c r="O1048" i="29"/>
  <c r="C1049" i="29"/>
  <c r="G1049" i="29"/>
  <c r="K1049" i="29"/>
  <c r="O1049" i="29"/>
  <c r="C1050" i="29"/>
  <c r="G1050" i="29"/>
  <c r="K1050" i="29"/>
  <c r="O1050" i="29"/>
  <c r="C1051" i="29"/>
  <c r="G1051" i="29"/>
  <c r="K1051" i="29"/>
  <c r="O1051" i="29"/>
  <c r="C1052" i="29"/>
  <c r="G1052" i="29"/>
  <c r="K1052" i="29"/>
  <c r="O1052" i="29"/>
  <c r="C1053" i="29"/>
  <c r="G1053" i="29"/>
  <c r="K1053" i="29"/>
  <c r="O1053" i="29"/>
  <c r="C1054" i="29"/>
  <c r="G1054" i="29"/>
  <c r="K1054" i="29"/>
  <c r="O1054" i="29"/>
  <c r="C1055" i="29"/>
  <c r="G1055" i="29"/>
  <c r="K1055" i="29"/>
  <c r="O1055" i="29"/>
  <c r="C1056" i="29"/>
  <c r="G1056" i="29"/>
  <c r="K1056" i="29"/>
  <c r="O1056" i="29"/>
  <c r="C1057" i="29"/>
  <c r="G1057" i="29"/>
  <c r="K1057" i="29"/>
  <c r="O1057" i="29"/>
  <c r="C1058" i="29"/>
  <c r="G1058" i="29"/>
  <c r="K1058" i="29"/>
  <c r="O1058" i="29"/>
  <c r="C1059" i="29"/>
  <c r="G1059" i="29"/>
  <c r="K1059" i="29"/>
  <c r="O1059" i="29"/>
  <c r="C1060" i="29"/>
  <c r="G1060" i="29"/>
  <c r="K1060" i="29"/>
  <c r="O1060" i="29"/>
  <c r="C1061" i="29"/>
  <c r="G1061" i="29"/>
  <c r="K1061" i="29"/>
  <c r="O1061" i="29"/>
  <c r="C1062" i="29"/>
  <c r="G1062" i="29"/>
  <c r="K1062" i="29"/>
  <c r="O1062" i="29"/>
  <c r="C1063" i="29"/>
  <c r="G1063" i="29"/>
  <c r="K1063" i="29"/>
  <c r="O1063" i="29"/>
  <c r="C1064" i="29"/>
  <c r="G1064" i="29"/>
  <c r="K1064" i="29"/>
  <c r="O1064" i="29"/>
  <c r="C1065" i="29"/>
  <c r="G1065" i="29"/>
  <c r="K1065" i="29"/>
  <c r="O1065" i="29"/>
  <c r="C1066" i="29"/>
  <c r="G1066" i="29"/>
  <c r="K1066" i="29"/>
  <c r="O1066" i="29"/>
  <c r="C1067" i="29"/>
  <c r="G1067" i="29"/>
  <c r="K1067" i="29"/>
  <c r="O1067" i="29"/>
  <c r="C1068" i="29"/>
  <c r="G1068" i="29"/>
  <c r="K1068" i="29"/>
  <c r="O1068" i="29"/>
  <c r="C1069" i="29"/>
  <c r="G1069" i="29"/>
  <c r="K1069" i="29"/>
  <c r="O1069" i="29"/>
  <c r="C1070" i="29"/>
  <c r="G1070" i="29"/>
  <c r="K1070" i="29"/>
  <c r="O1070" i="29"/>
  <c r="C1071" i="29"/>
  <c r="G1071" i="29"/>
  <c r="K1071" i="29"/>
  <c r="O1071" i="29"/>
  <c r="C1072" i="29"/>
  <c r="G1072" i="29"/>
  <c r="K1072" i="29"/>
  <c r="O1072" i="29"/>
  <c r="C1073" i="29"/>
  <c r="G1073" i="29"/>
  <c r="K1073" i="29"/>
  <c r="O1073" i="29"/>
  <c r="C1074" i="29"/>
  <c r="G1074" i="29"/>
  <c r="K1074" i="29"/>
  <c r="O1074" i="29"/>
  <c r="C1075" i="29"/>
  <c r="G1075" i="29"/>
  <c r="K1075" i="29"/>
  <c r="O1075" i="29"/>
  <c r="C1076" i="29"/>
  <c r="G1076" i="29"/>
  <c r="K1076" i="29"/>
  <c r="O1076" i="29"/>
  <c r="C1077" i="29"/>
  <c r="G1077" i="29"/>
  <c r="K1077" i="29"/>
  <c r="O1077" i="29"/>
  <c r="C1078" i="29"/>
  <c r="G1078" i="29"/>
  <c r="K1078" i="29"/>
  <c r="O1078" i="29"/>
  <c r="C1079" i="29"/>
  <c r="G1079" i="29"/>
  <c r="K1079" i="29"/>
  <c r="O1079" i="29"/>
  <c r="C1080" i="29"/>
  <c r="G1080" i="29"/>
  <c r="K1080" i="29"/>
  <c r="O1080" i="29"/>
  <c r="C1081" i="29"/>
  <c r="G1081" i="29"/>
  <c r="K1081" i="29"/>
  <c r="O1081" i="29"/>
  <c r="B1082" i="29"/>
  <c r="C1082" i="29"/>
  <c r="F1082" i="29"/>
  <c r="G1082" i="29"/>
  <c r="J1082" i="29"/>
  <c r="K1082" i="29"/>
  <c r="N1082" i="29"/>
  <c r="O1082" i="29"/>
  <c r="B1083" i="29"/>
  <c r="C1083" i="29"/>
  <c r="F1083" i="29"/>
  <c r="G1083" i="29"/>
  <c r="J1083" i="29"/>
  <c r="K1083" i="29"/>
  <c r="N1083" i="29"/>
  <c r="O1083" i="29"/>
  <c r="B1084" i="29"/>
  <c r="C1084" i="29"/>
  <c r="F1084" i="29"/>
  <c r="G1084" i="29"/>
  <c r="J1084" i="29"/>
  <c r="K1084" i="29"/>
  <c r="N1084" i="29"/>
  <c r="O1084" i="29"/>
  <c r="B1085" i="29"/>
  <c r="C1085" i="29"/>
  <c r="F1085" i="29"/>
  <c r="G1085" i="29"/>
  <c r="J1085" i="29"/>
  <c r="K1085" i="29"/>
  <c r="N1085" i="29"/>
  <c r="O1085" i="29"/>
  <c r="B1086" i="29"/>
  <c r="C1086" i="29"/>
  <c r="F1086" i="29"/>
  <c r="G1086" i="29"/>
  <c r="J1086" i="29"/>
  <c r="K1086" i="29"/>
  <c r="N1086" i="29"/>
  <c r="O1086" i="29"/>
  <c r="B1087" i="29"/>
  <c r="C1087" i="29"/>
  <c r="F1087" i="29"/>
  <c r="G1087" i="29"/>
  <c r="J1087" i="29"/>
  <c r="K1087" i="29"/>
  <c r="N1087" i="29"/>
  <c r="O1087" i="29"/>
  <c r="B1088" i="29"/>
  <c r="C1088" i="29"/>
  <c r="F1088" i="29"/>
  <c r="G1088" i="29"/>
  <c r="J1088" i="29"/>
  <c r="K1088" i="29"/>
  <c r="N1088" i="29"/>
  <c r="O1088" i="29"/>
  <c r="B1089" i="29"/>
  <c r="C1089" i="29"/>
  <c r="F1089" i="29"/>
  <c r="G1089" i="29"/>
  <c r="J1089" i="29"/>
  <c r="K1089" i="29"/>
  <c r="N1089" i="29"/>
  <c r="O1089" i="29"/>
  <c r="B1090" i="29"/>
  <c r="C1090" i="29"/>
  <c r="F1090" i="29"/>
  <c r="G1090" i="29"/>
  <c r="J1090" i="29"/>
  <c r="K1090" i="29"/>
  <c r="N1090" i="29"/>
  <c r="O1090" i="29"/>
  <c r="B1091" i="29"/>
  <c r="C1091" i="29"/>
  <c r="F1091" i="29"/>
  <c r="G1091" i="29"/>
  <c r="J1091" i="29"/>
  <c r="K1091" i="29"/>
  <c r="N1091" i="29"/>
  <c r="O1091" i="29"/>
  <c r="B1092" i="29"/>
  <c r="C1092" i="29"/>
  <c r="F1092" i="29"/>
  <c r="G1092" i="29"/>
  <c r="J1092" i="29"/>
  <c r="K1092" i="29"/>
  <c r="N1092" i="29"/>
  <c r="O1092" i="29"/>
  <c r="B1093" i="29"/>
  <c r="C1093" i="29"/>
  <c r="F1093" i="29"/>
  <c r="G1093" i="29"/>
  <c r="J1093" i="29"/>
  <c r="K1093" i="29"/>
  <c r="N1093" i="29"/>
  <c r="O1093" i="29"/>
  <c r="B1094" i="29"/>
  <c r="C1094" i="29"/>
  <c r="F1094" i="29"/>
  <c r="G1094" i="29"/>
  <c r="J1094" i="29"/>
  <c r="K1094" i="29"/>
  <c r="N1094" i="29"/>
  <c r="O1094" i="29"/>
  <c r="B1095" i="29"/>
  <c r="C1095" i="29"/>
  <c r="F1095" i="29"/>
  <c r="G1095" i="29"/>
  <c r="J1095" i="29"/>
  <c r="K1095" i="29"/>
  <c r="N1095" i="29"/>
  <c r="O1095" i="29"/>
  <c r="B1096" i="29"/>
  <c r="C1096" i="29"/>
  <c r="F1096" i="29"/>
  <c r="G1096" i="29"/>
  <c r="J1096" i="29"/>
  <c r="K1096" i="29"/>
  <c r="N1096" i="29"/>
  <c r="O1096" i="29"/>
  <c r="B1097" i="29"/>
  <c r="C1097" i="29"/>
  <c r="F1097" i="29"/>
  <c r="G1097" i="29"/>
  <c r="J1097" i="29"/>
  <c r="K1097" i="29"/>
  <c r="N1097" i="29"/>
  <c r="O1097" i="29"/>
  <c r="B1098" i="29"/>
  <c r="C1098" i="29"/>
  <c r="F1098" i="29"/>
  <c r="G1098" i="29"/>
  <c r="J1098" i="29"/>
  <c r="K1098" i="29"/>
  <c r="N1098" i="29"/>
  <c r="O1098" i="29"/>
  <c r="B1099" i="29"/>
  <c r="C1099" i="29"/>
  <c r="F1099" i="29"/>
  <c r="G1099" i="29"/>
  <c r="J1099" i="29"/>
  <c r="K1099" i="29"/>
  <c r="N1099" i="29"/>
  <c r="O1099" i="29"/>
  <c r="B1100" i="29"/>
  <c r="C1100" i="29"/>
  <c r="F1100" i="29"/>
  <c r="G1100" i="29"/>
  <c r="J1100" i="29"/>
  <c r="K1100" i="29"/>
  <c r="N1100" i="29"/>
  <c r="O1100" i="29"/>
  <c r="B1101" i="29"/>
  <c r="C1101" i="29"/>
  <c r="F1101" i="29"/>
  <c r="G1101" i="29"/>
  <c r="J1101" i="29"/>
  <c r="K1101" i="29"/>
  <c r="N1101" i="29"/>
  <c r="O1101" i="29"/>
  <c r="B1102" i="29"/>
  <c r="C1102" i="29"/>
  <c r="F1102" i="29"/>
  <c r="G1102" i="29"/>
  <c r="J1102" i="29"/>
  <c r="K1102" i="29"/>
  <c r="N1102" i="29"/>
  <c r="O1102" i="29"/>
  <c r="B1103" i="29"/>
  <c r="C1103" i="29"/>
  <c r="F1103" i="29"/>
  <c r="G1103" i="29"/>
  <c r="J1103" i="29"/>
  <c r="K1103" i="29"/>
  <c r="N1103" i="29"/>
  <c r="O1103" i="29"/>
  <c r="B1104" i="29"/>
  <c r="C1104" i="29"/>
  <c r="F1104" i="29"/>
  <c r="G1104" i="29"/>
  <c r="J1104" i="29"/>
  <c r="K1104" i="29"/>
  <c r="N1104" i="29"/>
  <c r="O1104" i="29"/>
  <c r="B1105" i="29"/>
  <c r="C1105" i="29"/>
  <c r="F1105" i="29"/>
  <c r="G1105" i="29"/>
  <c r="J1105" i="29"/>
  <c r="K1105" i="29"/>
  <c r="N1105" i="29"/>
  <c r="O1105" i="29"/>
  <c r="B1106" i="29"/>
  <c r="C1106" i="29"/>
  <c r="F1106" i="29"/>
  <c r="G1106" i="29"/>
  <c r="J1106" i="29"/>
  <c r="K1106" i="29"/>
  <c r="N1106" i="29"/>
  <c r="O1106" i="29"/>
  <c r="B1107" i="29"/>
  <c r="C1107" i="29"/>
  <c r="F1107" i="29"/>
  <c r="G1107" i="29"/>
  <c r="J1107" i="29"/>
  <c r="K1107" i="29"/>
  <c r="N1107" i="29"/>
  <c r="O1107" i="29"/>
  <c r="B1108" i="29"/>
  <c r="C1108" i="29"/>
  <c r="F1108" i="29"/>
  <c r="G1108" i="29"/>
  <c r="J1108" i="29"/>
  <c r="K1108" i="29"/>
  <c r="N1108" i="29"/>
  <c r="O1108" i="29"/>
  <c r="B1109" i="29"/>
  <c r="C1109" i="29"/>
  <c r="F1109" i="29"/>
  <c r="G1109" i="29"/>
  <c r="J1109" i="29"/>
  <c r="K1109" i="29"/>
  <c r="N1109" i="29"/>
  <c r="O1109" i="29"/>
  <c r="B1110" i="29"/>
  <c r="C1110" i="29"/>
  <c r="F1110" i="29"/>
  <c r="G1110" i="29"/>
  <c r="J1110" i="29"/>
  <c r="K1110" i="29"/>
  <c r="N1110" i="29"/>
  <c r="O1110" i="29"/>
  <c r="B1111" i="29"/>
  <c r="C1111" i="29"/>
  <c r="F1111" i="29"/>
  <c r="G1111" i="29"/>
  <c r="J1111" i="29"/>
  <c r="K1111" i="29"/>
  <c r="N1111" i="29"/>
  <c r="O1111" i="29"/>
  <c r="B1112" i="29"/>
  <c r="C1112" i="29"/>
  <c r="F1112" i="29"/>
  <c r="G1112" i="29"/>
  <c r="J1112" i="29"/>
  <c r="K1112" i="29"/>
  <c r="N1112" i="29"/>
  <c r="O1112" i="29"/>
  <c r="C1113" i="29"/>
  <c r="G1113" i="29"/>
  <c r="K1113" i="29"/>
  <c r="O1113" i="29"/>
  <c r="C1114" i="29"/>
  <c r="G1114" i="29"/>
  <c r="K1114" i="29"/>
  <c r="O1114" i="29"/>
  <c r="C1115" i="29"/>
  <c r="G1115" i="29"/>
  <c r="K1115" i="29"/>
  <c r="O1115" i="29"/>
  <c r="C1116" i="29"/>
  <c r="G1116" i="29"/>
  <c r="K1116" i="29"/>
  <c r="O1116" i="29"/>
  <c r="C1117" i="29"/>
  <c r="G1117" i="29"/>
  <c r="K1117" i="29"/>
  <c r="O1117" i="29"/>
  <c r="C1118" i="29"/>
  <c r="G1118" i="29"/>
  <c r="K1118" i="29"/>
  <c r="O1118" i="29"/>
  <c r="C1119" i="29"/>
  <c r="G1119" i="29"/>
  <c r="K1119" i="29"/>
  <c r="O1119" i="29"/>
  <c r="C1120" i="29"/>
  <c r="G1120" i="29"/>
  <c r="K1120" i="29"/>
  <c r="O1120" i="29"/>
  <c r="C1121" i="29"/>
  <c r="G1121" i="29"/>
  <c r="K1121" i="29"/>
  <c r="O1121" i="29"/>
  <c r="C1122" i="29"/>
  <c r="G1122" i="29"/>
  <c r="K1122" i="29"/>
  <c r="O1122" i="29"/>
  <c r="C1123" i="29"/>
  <c r="G1123" i="29"/>
  <c r="K1123" i="29"/>
  <c r="O1123" i="29"/>
  <c r="C1124" i="29"/>
  <c r="G1124" i="29"/>
  <c r="K1124" i="29"/>
  <c r="O1124" i="29"/>
  <c r="C1125" i="29"/>
  <c r="G1125" i="29"/>
  <c r="K1125" i="29"/>
  <c r="O1125" i="29"/>
  <c r="C1126" i="29"/>
  <c r="G1126" i="29"/>
  <c r="K1126" i="29"/>
  <c r="O1126" i="29"/>
  <c r="C1127" i="29"/>
  <c r="G1127" i="29"/>
  <c r="K1127" i="29"/>
  <c r="O1127" i="29"/>
  <c r="C1128" i="29"/>
  <c r="G1128" i="29"/>
  <c r="K1128" i="29"/>
  <c r="O1128" i="29"/>
  <c r="C1129" i="29"/>
  <c r="G1129" i="29"/>
  <c r="K1129" i="29"/>
  <c r="O1129" i="29"/>
  <c r="C1130" i="29"/>
  <c r="G1130" i="29"/>
  <c r="K1130" i="29"/>
  <c r="O1130" i="29"/>
  <c r="C1131" i="29"/>
  <c r="G1131" i="29"/>
  <c r="K1131" i="29"/>
  <c r="O1131" i="29"/>
  <c r="C1132" i="29"/>
  <c r="G1132" i="29"/>
  <c r="K1132" i="29"/>
  <c r="O1132" i="29"/>
  <c r="C1133" i="29"/>
  <c r="G1133" i="29"/>
  <c r="K1133" i="29"/>
  <c r="O1133" i="29"/>
  <c r="C1134" i="29"/>
  <c r="G1134" i="29"/>
  <c r="K1134" i="29"/>
  <c r="O1134" i="29"/>
  <c r="C1135" i="29"/>
  <c r="G1135" i="29"/>
  <c r="K1135" i="29"/>
  <c r="O1135" i="29"/>
  <c r="C1136" i="29"/>
  <c r="G1136" i="29"/>
  <c r="K1136" i="29"/>
  <c r="O1136" i="29"/>
  <c r="C1137" i="29"/>
  <c r="G1137" i="29"/>
  <c r="K1137" i="29"/>
  <c r="O1137" i="29"/>
  <c r="C1138" i="29"/>
  <c r="G1138" i="29"/>
  <c r="K1138" i="29"/>
  <c r="O1138" i="29"/>
  <c r="C1139" i="29"/>
  <c r="G1139" i="29"/>
  <c r="K1139" i="29"/>
  <c r="O1139" i="29"/>
  <c r="C1140" i="29"/>
  <c r="G1140" i="29"/>
  <c r="K1140" i="29"/>
  <c r="O1140" i="29"/>
  <c r="C1141" i="29"/>
  <c r="G1141" i="29"/>
  <c r="K1141" i="29"/>
  <c r="O1141" i="29"/>
  <c r="C1142" i="29"/>
  <c r="G1142" i="29"/>
  <c r="K1142" i="29"/>
  <c r="O1142" i="29"/>
  <c r="C1143" i="29"/>
  <c r="G1143" i="29"/>
  <c r="K1143" i="29"/>
  <c r="O1143" i="29"/>
  <c r="C1144" i="29"/>
  <c r="G1144" i="29"/>
  <c r="K1144" i="29"/>
  <c r="O1144" i="29"/>
  <c r="C1145" i="29"/>
  <c r="G1145" i="29"/>
  <c r="K1145" i="29"/>
  <c r="O1145" i="29"/>
  <c r="C1146" i="29"/>
  <c r="G1146" i="29"/>
  <c r="K1146" i="29"/>
  <c r="O1146" i="29"/>
  <c r="C1147" i="29"/>
  <c r="G1147" i="29"/>
  <c r="K1147" i="29"/>
  <c r="O1147" i="29"/>
  <c r="C1148" i="29"/>
  <c r="G1148" i="29"/>
  <c r="K1148" i="29"/>
  <c r="O1148" i="29"/>
  <c r="C1149" i="29"/>
  <c r="G1149" i="29"/>
  <c r="K1149" i="29"/>
  <c r="O1149" i="29"/>
  <c r="C1150" i="29"/>
  <c r="G1150" i="29"/>
  <c r="K1150" i="29"/>
  <c r="O1150" i="29"/>
  <c r="C1151" i="29"/>
  <c r="G1151" i="29"/>
  <c r="K1151" i="29"/>
  <c r="O1151" i="29"/>
  <c r="C1152" i="29"/>
  <c r="G1152" i="29"/>
  <c r="K1152" i="29"/>
  <c r="O1152" i="29"/>
  <c r="C1153" i="29"/>
  <c r="G1153" i="29"/>
  <c r="K1153" i="29"/>
  <c r="O1153" i="29"/>
  <c r="C1154" i="29"/>
  <c r="G1154" i="29"/>
  <c r="K1154" i="29"/>
  <c r="O1154" i="29"/>
  <c r="C1155" i="29"/>
  <c r="G1155" i="29"/>
  <c r="K1155" i="29"/>
  <c r="O1155" i="29"/>
  <c r="C1156" i="29"/>
  <c r="G1156" i="29"/>
  <c r="K1156" i="29"/>
  <c r="O1156" i="29"/>
  <c r="C1157" i="29"/>
  <c r="G1157" i="29"/>
  <c r="K1157" i="29"/>
  <c r="O1157" i="29"/>
  <c r="C1158" i="29"/>
  <c r="G1158" i="29"/>
  <c r="K1158" i="29"/>
  <c r="O1158" i="29"/>
  <c r="C1159" i="29"/>
  <c r="G1159" i="29"/>
  <c r="K1159" i="29"/>
  <c r="O1159" i="29"/>
  <c r="C1160" i="29"/>
  <c r="G1160" i="29"/>
  <c r="K1160" i="29"/>
  <c r="O1160" i="29"/>
  <c r="C1161" i="29"/>
  <c r="G1161" i="29"/>
  <c r="K1161" i="29"/>
  <c r="O1161" i="29"/>
  <c r="C1162" i="29"/>
  <c r="G1162" i="29"/>
  <c r="K1162" i="29"/>
  <c r="O1162" i="29"/>
  <c r="C1163" i="29"/>
  <c r="G1163" i="29"/>
  <c r="K1163" i="29"/>
  <c r="O1163" i="29"/>
  <c r="C1164" i="29"/>
  <c r="G1164" i="29"/>
  <c r="K1164" i="29"/>
  <c r="O1164" i="29"/>
  <c r="C1165" i="29"/>
  <c r="G1165" i="29"/>
  <c r="K1165" i="29"/>
  <c r="O1165" i="29"/>
  <c r="C1166" i="29"/>
  <c r="G1166" i="29"/>
  <c r="K1166" i="29"/>
  <c r="O1166" i="29"/>
  <c r="C1167" i="29"/>
  <c r="G1167" i="29"/>
  <c r="K1167" i="29"/>
  <c r="O1167" i="29"/>
  <c r="C1168" i="29"/>
  <c r="G1168" i="29"/>
  <c r="K1168" i="29"/>
  <c r="O1168" i="29"/>
  <c r="C1169" i="29"/>
  <c r="G1169" i="29"/>
  <c r="K1169" i="29"/>
  <c r="O1169" i="29"/>
  <c r="C1170" i="29"/>
  <c r="G1170" i="29"/>
  <c r="K1170" i="29"/>
  <c r="O1170" i="29"/>
  <c r="C1171" i="29"/>
  <c r="G1171" i="29"/>
  <c r="K1171" i="29"/>
  <c r="O1171" i="29"/>
  <c r="C1172" i="29"/>
  <c r="G1172" i="29"/>
  <c r="K1172" i="29"/>
  <c r="O1172" i="29"/>
  <c r="C1173" i="29"/>
  <c r="G1173" i="29"/>
  <c r="K1173" i="29"/>
  <c r="O1173" i="29"/>
  <c r="C1174" i="29"/>
  <c r="G1174" i="29"/>
  <c r="K1174" i="29"/>
  <c r="O1174" i="29"/>
  <c r="C1175" i="29"/>
  <c r="G1175" i="29"/>
  <c r="K1175" i="29"/>
  <c r="O1175" i="29"/>
  <c r="C1176" i="29"/>
  <c r="G1176" i="29"/>
  <c r="K1176" i="29"/>
  <c r="O1176" i="29"/>
  <c r="C1177" i="29"/>
  <c r="G1177" i="29"/>
  <c r="K1177" i="29"/>
  <c r="O1177" i="29"/>
  <c r="C1178" i="29"/>
  <c r="G1178" i="29"/>
  <c r="K1178" i="29"/>
  <c r="O1178" i="29"/>
  <c r="C1179" i="29"/>
  <c r="G1179" i="29"/>
  <c r="K1179" i="29"/>
  <c r="O1179" i="29"/>
  <c r="C1180" i="29"/>
  <c r="G1180" i="29"/>
  <c r="K1180" i="29"/>
  <c r="O1180" i="29"/>
  <c r="C1181" i="29"/>
  <c r="G1181" i="29"/>
  <c r="K1181" i="29"/>
  <c r="O1181" i="29"/>
  <c r="C1182" i="29"/>
  <c r="G1182" i="29"/>
  <c r="K1182" i="29"/>
  <c r="O1182" i="29"/>
  <c r="C1183" i="29"/>
  <c r="G1183" i="29"/>
  <c r="K1183" i="29"/>
  <c r="O1183" i="29"/>
  <c r="C1184" i="29"/>
  <c r="G1184" i="29"/>
  <c r="K1184" i="29"/>
  <c r="O1184" i="29"/>
  <c r="C1185" i="29"/>
  <c r="G1185" i="29"/>
  <c r="K1185" i="29"/>
  <c r="O1185" i="29"/>
  <c r="C1186" i="29"/>
  <c r="G1186" i="29"/>
  <c r="K1186" i="29"/>
  <c r="O1186" i="29"/>
  <c r="C1187" i="29"/>
  <c r="G1187" i="29"/>
  <c r="K1187" i="29"/>
  <c r="O1187" i="29"/>
  <c r="C1188" i="29"/>
  <c r="G1188" i="29"/>
  <c r="K1188" i="29"/>
  <c r="O1188" i="29"/>
  <c r="C1189" i="29"/>
  <c r="G1189" i="29"/>
  <c r="K1189" i="29"/>
  <c r="O1189" i="29"/>
  <c r="C1190" i="29"/>
  <c r="G1190" i="29"/>
  <c r="K1190" i="29"/>
  <c r="O1190" i="29"/>
  <c r="C1191" i="29"/>
  <c r="G1191" i="29"/>
  <c r="K1191" i="29"/>
  <c r="O1191" i="29"/>
  <c r="C1192" i="29"/>
  <c r="G1192" i="29"/>
  <c r="K1192" i="29"/>
  <c r="O1192" i="29"/>
  <c r="C1193" i="29"/>
  <c r="G1193" i="29"/>
  <c r="K1193" i="29"/>
  <c r="O1193" i="29"/>
  <c r="C1194" i="29"/>
  <c r="G1194" i="29"/>
  <c r="K1194" i="29"/>
  <c r="O1194" i="29"/>
  <c r="C1195" i="29"/>
  <c r="G1195" i="29"/>
  <c r="K1195" i="29"/>
  <c r="O1195" i="29"/>
  <c r="C1196" i="29"/>
  <c r="G1196" i="29"/>
  <c r="K1196" i="29"/>
  <c r="O1196" i="29"/>
  <c r="C1197" i="29"/>
  <c r="G1197" i="29"/>
  <c r="K1197" i="29"/>
  <c r="O1197" i="29"/>
  <c r="C1198" i="29"/>
  <c r="G1198" i="29"/>
  <c r="K1198" i="29"/>
  <c r="O1198" i="29"/>
  <c r="C1199" i="29"/>
  <c r="G1199" i="29"/>
  <c r="K1199" i="29"/>
  <c r="O1199" i="29"/>
  <c r="C1200" i="29"/>
  <c r="G1200" i="29"/>
  <c r="K1200" i="29"/>
  <c r="O1200" i="29"/>
  <c r="C1201" i="29"/>
  <c r="G1201" i="29"/>
  <c r="K1201" i="29"/>
  <c r="O1201" i="29"/>
  <c r="C1202" i="29"/>
  <c r="G1202" i="29"/>
  <c r="K1202" i="29"/>
  <c r="O1202" i="29"/>
  <c r="C1203" i="29"/>
  <c r="G1203" i="29"/>
  <c r="K1203" i="29"/>
  <c r="O1203" i="29"/>
  <c r="C1204" i="29"/>
  <c r="G1204" i="29"/>
  <c r="K1204" i="29"/>
  <c r="O1204" i="29"/>
  <c r="C1205" i="29"/>
  <c r="G1205" i="29"/>
  <c r="K1205" i="29"/>
  <c r="O1205" i="29"/>
  <c r="C1206" i="29"/>
  <c r="G1206" i="29"/>
  <c r="K1206" i="29"/>
  <c r="O1206" i="29"/>
  <c r="C1207" i="29"/>
  <c r="G1207" i="29"/>
  <c r="K1207" i="29"/>
  <c r="O1207" i="29"/>
  <c r="C1208" i="29"/>
  <c r="G1208" i="29"/>
  <c r="K1208" i="29"/>
  <c r="O1208" i="29"/>
  <c r="C1209" i="29"/>
  <c r="G1209" i="29"/>
  <c r="K1209" i="29"/>
  <c r="O1209" i="29"/>
  <c r="C1210" i="29"/>
  <c r="G1210" i="29"/>
  <c r="K1210" i="29"/>
  <c r="O1210" i="29"/>
  <c r="C1211" i="29"/>
  <c r="G1211" i="29"/>
  <c r="K1211" i="29"/>
  <c r="O1211" i="29"/>
  <c r="C1212" i="29"/>
  <c r="G1212" i="29"/>
  <c r="K1212" i="29"/>
  <c r="O1212" i="29"/>
  <c r="C1213" i="29"/>
  <c r="G1213" i="29"/>
  <c r="K1213" i="29"/>
  <c r="O1213" i="29"/>
  <c r="C1214" i="29"/>
  <c r="G1214" i="29"/>
  <c r="K1214" i="29"/>
  <c r="O1214" i="29"/>
  <c r="C1215" i="29"/>
  <c r="G1215" i="29"/>
  <c r="K1215" i="29"/>
  <c r="O1215" i="29"/>
  <c r="C1216" i="29"/>
  <c r="G1216" i="29"/>
  <c r="K1216" i="29"/>
  <c r="O1216" i="29"/>
  <c r="C1217" i="29"/>
  <c r="G1217" i="29"/>
  <c r="K1217" i="29"/>
  <c r="O1217" i="29"/>
  <c r="C1218" i="29"/>
  <c r="G1218" i="29"/>
  <c r="K1218" i="29"/>
  <c r="O1218" i="29"/>
  <c r="C1219" i="29"/>
  <c r="G1219" i="29"/>
  <c r="K1219" i="29"/>
  <c r="O1219" i="29"/>
  <c r="C1220" i="29"/>
  <c r="G1220" i="29"/>
  <c r="K1220" i="29"/>
  <c r="O1220" i="29"/>
  <c r="C1221" i="29"/>
  <c r="G1221" i="29"/>
  <c r="K1221" i="29"/>
  <c r="O1221" i="29"/>
  <c r="C1222" i="29"/>
  <c r="G1222" i="29"/>
  <c r="K1222" i="29"/>
  <c r="O1222" i="29"/>
  <c r="C1223" i="29"/>
  <c r="G1223" i="29"/>
  <c r="K1223" i="29"/>
  <c r="O1223" i="29"/>
  <c r="C1224" i="29"/>
  <c r="G1224" i="29"/>
  <c r="K1224" i="29"/>
  <c r="O1224" i="29"/>
  <c r="C1225" i="29"/>
  <c r="G1225" i="29"/>
  <c r="K1225" i="29"/>
  <c r="O1225" i="29"/>
  <c r="C1226" i="29"/>
  <c r="G1226" i="29"/>
  <c r="K1226" i="29"/>
  <c r="O1226" i="29"/>
  <c r="C1227" i="29"/>
  <c r="G1227" i="29"/>
  <c r="K1227" i="29"/>
  <c r="O1227" i="29"/>
  <c r="C1228" i="29"/>
  <c r="G1228" i="29"/>
  <c r="K1228" i="29"/>
  <c r="O1228" i="29"/>
  <c r="C1229" i="29"/>
  <c r="G1229" i="29"/>
  <c r="K1229" i="29"/>
  <c r="O1229" i="29"/>
  <c r="C1230" i="29"/>
  <c r="G1230" i="29"/>
  <c r="K1230" i="29"/>
  <c r="O1230" i="29"/>
  <c r="C1231" i="29"/>
  <c r="G1231" i="29"/>
  <c r="K1231" i="29"/>
  <c r="O1231" i="29"/>
  <c r="C1232" i="29"/>
  <c r="G1232" i="29"/>
  <c r="K1232" i="29"/>
  <c r="O1232" i="29"/>
  <c r="C1233" i="29"/>
  <c r="G1233" i="29"/>
  <c r="K1233" i="29"/>
  <c r="O1233" i="29"/>
  <c r="C1234" i="29"/>
  <c r="G1234" i="29"/>
  <c r="K1234" i="29"/>
  <c r="O1234" i="29"/>
  <c r="C1235" i="29"/>
  <c r="G1235" i="29"/>
  <c r="K1235" i="29"/>
  <c r="O1235" i="29"/>
  <c r="C1236" i="29"/>
  <c r="G1236" i="29"/>
  <c r="K1236" i="29"/>
  <c r="O1236" i="29"/>
  <c r="C1237" i="29"/>
  <c r="G1237" i="29"/>
  <c r="K1237" i="29"/>
  <c r="O1237" i="29"/>
  <c r="C1238" i="29"/>
  <c r="G1238" i="29"/>
  <c r="K1238" i="29"/>
  <c r="O1238" i="29"/>
  <c r="C1239" i="29"/>
  <c r="G1239" i="29"/>
  <c r="K1239" i="29"/>
  <c r="O1239" i="29"/>
  <c r="C1240" i="29"/>
  <c r="G1240" i="29"/>
  <c r="K1240" i="29"/>
  <c r="O1240" i="29"/>
  <c r="C1241" i="29"/>
  <c r="G1241" i="29"/>
  <c r="K1241" i="29"/>
  <c r="O1241" i="29"/>
  <c r="C1242" i="29"/>
  <c r="G1242" i="29"/>
  <c r="K1242" i="29"/>
  <c r="O1242" i="29"/>
  <c r="C1243" i="29"/>
  <c r="G1243" i="29"/>
  <c r="K1243" i="29"/>
  <c r="O1243" i="29"/>
  <c r="C1244" i="29"/>
  <c r="G1244" i="29"/>
  <c r="K1244" i="29"/>
  <c r="O1244" i="29"/>
  <c r="C1245" i="29"/>
  <c r="G1245" i="29"/>
  <c r="K1245" i="29"/>
  <c r="O1245" i="29"/>
  <c r="C1246" i="29"/>
  <c r="G1246" i="29"/>
  <c r="K1246" i="29"/>
  <c r="O1246" i="29"/>
  <c r="C1247" i="29"/>
  <c r="G1247" i="29"/>
  <c r="K1247" i="29"/>
  <c r="O1247" i="29"/>
  <c r="C1248" i="29"/>
  <c r="G1248" i="29"/>
  <c r="K1248" i="29"/>
  <c r="O1248" i="29"/>
  <c r="C1249" i="29"/>
  <c r="G1249" i="29"/>
  <c r="K1249" i="29"/>
  <c r="O1249" i="29"/>
  <c r="C1250" i="29"/>
  <c r="G1250" i="29"/>
  <c r="K1250" i="29"/>
  <c r="O1250" i="29"/>
  <c r="C1251" i="29"/>
  <c r="G1251" i="29"/>
  <c r="K1251" i="29"/>
  <c r="O1251" i="29"/>
  <c r="C1252" i="29"/>
  <c r="G1252" i="29"/>
  <c r="K1252" i="29"/>
  <c r="O1252" i="29"/>
  <c r="C1253" i="29"/>
  <c r="G1253" i="29"/>
  <c r="K1253" i="29"/>
  <c r="O1253" i="29"/>
  <c r="C1254" i="29"/>
  <c r="G1254" i="29"/>
  <c r="K1254" i="29"/>
  <c r="O1254" i="29"/>
  <c r="C1255" i="29"/>
  <c r="G1255" i="29"/>
  <c r="K1255" i="29"/>
  <c r="O1255" i="29"/>
  <c r="C1256" i="29"/>
  <c r="G1256" i="29"/>
  <c r="K1256" i="29"/>
  <c r="O1256" i="29"/>
  <c r="C1257" i="29"/>
  <c r="G1257" i="29"/>
  <c r="K1257" i="29"/>
  <c r="O1257" i="29"/>
  <c r="C1258" i="29"/>
  <c r="G1258" i="29"/>
  <c r="K1258" i="29"/>
  <c r="O1258" i="29"/>
  <c r="C1259" i="29"/>
  <c r="G1259" i="29"/>
  <c r="K1259" i="29"/>
  <c r="O1259" i="29"/>
  <c r="C1260" i="29"/>
  <c r="G1260" i="29"/>
  <c r="K1260" i="29"/>
  <c r="O1260" i="29"/>
  <c r="C1261" i="29"/>
  <c r="G1261" i="29"/>
  <c r="K1261" i="29"/>
  <c r="O1261" i="29"/>
  <c r="B1262" i="29"/>
  <c r="C1262" i="29"/>
  <c r="F1262" i="29"/>
  <c r="G1262" i="29"/>
  <c r="J1262" i="29"/>
  <c r="K1262" i="29"/>
  <c r="N1262" i="29"/>
  <c r="O1262" i="29"/>
  <c r="B1263" i="29"/>
  <c r="C1263" i="29"/>
  <c r="F1263" i="29"/>
  <c r="G1263" i="29"/>
  <c r="J1263" i="29"/>
  <c r="K1263" i="29"/>
  <c r="N1263" i="29"/>
  <c r="O1263" i="29"/>
  <c r="B1264" i="29"/>
  <c r="C1264" i="29"/>
  <c r="F1264" i="29"/>
  <c r="G1264" i="29"/>
  <c r="J1264" i="29"/>
  <c r="K1264" i="29"/>
  <c r="N1264" i="29"/>
  <c r="O1264" i="29"/>
  <c r="B1265" i="29"/>
  <c r="C1265" i="29"/>
  <c r="F1265" i="29"/>
  <c r="G1265" i="29"/>
  <c r="J1265" i="29"/>
  <c r="K1265" i="29"/>
  <c r="N1265" i="29"/>
  <c r="O1265" i="29"/>
  <c r="B1266" i="29"/>
  <c r="C1266" i="29"/>
  <c r="F1266" i="29"/>
  <c r="G1266" i="29"/>
  <c r="J1266" i="29"/>
  <c r="K1266" i="29"/>
  <c r="N1266" i="29"/>
  <c r="O1266" i="29"/>
  <c r="B1267" i="29"/>
  <c r="C1267" i="29"/>
  <c r="F1267" i="29"/>
  <c r="G1267" i="29"/>
  <c r="J1267" i="29"/>
  <c r="K1267" i="29"/>
  <c r="N1267" i="29"/>
  <c r="O1267" i="29"/>
  <c r="B1268" i="29"/>
  <c r="C1268" i="29"/>
  <c r="F1268" i="29"/>
  <c r="G1268" i="29"/>
  <c r="J1268" i="29"/>
  <c r="K1268" i="29"/>
  <c r="N1268" i="29"/>
  <c r="O1268" i="29"/>
  <c r="B1269" i="29"/>
  <c r="C1269" i="29"/>
  <c r="F1269" i="29"/>
  <c r="G1269" i="29"/>
  <c r="J1269" i="29"/>
  <c r="K1269" i="29"/>
  <c r="N1269" i="29"/>
  <c r="O1269" i="29"/>
  <c r="B1270" i="29"/>
  <c r="C1270" i="29"/>
  <c r="F1270" i="29"/>
  <c r="G1270" i="29"/>
  <c r="J1270" i="29"/>
  <c r="K1270" i="29"/>
  <c r="N1270" i="29"/>
  <c r="O1270" i="29"/>
  <c r="B1271" i="29"/>
  <c r="C1271" i="29"/>
  <c r="F1271" i="29"/>
  <c r="G1271" i="29"/>
  <c r="J1271" i="29"/>
  <c r="K1271" i="29"/>
  <c r="N1271" i="29"/>
  <c r="O1271" i="29"/>
  <c r="B1272" i="29"/>
  <c r="C1272" i="29"/>
  <c r="F1272" i="29"/>
  <c r="G1272" i="29"/>
  <c r="J1272" i="29"/>
  <c r="K1272" i="29"/>
  <c r="N1272" i="29"/>
  <c r="O1272" i="29"/>
  <c r="B1273" i="29"/>
  <c r="C1273" i="29"/>
  <c r="F1273" i="29"/>
  <c r="G1273" i="29"/>
  <c r="J1273" i="29"/>
  <c r="K1273" i="29"/>
  <c r="N1273" i="29"/>
  <c r="O1273" i="29"/>
  <c r="B1274" i="29"/>
  <c r="C1274" i="29"/>
  <c r="F1274" i="29"/>
  <c r="G1274" i="29"/>
  <c r="J1274" i="29"/>
  <c r="K1274" i="29"/>
  <c r="N1274" i="29"/>
  <c r="O1274" i="29"/>
  <c r="B1275" i="29"/>
  <c r="C1275" i="29"/>
  <c r="F1275" i="29"/>
  <c r="G1275" i="29"/>
  <c r="J1275" i="29"/>
  <c r="K1275" i="29"/>
  <c r="N1275" i="29"/>
  <c r="O1275" i="29"/>
  <c r="B1276" i="29"/>
  <c r="C1276" i="29"/>
  <c r="F1276" i="29"/>
  <c r="G1276" i="29"/>
  <c r="J1276" i="29"/>
  <c r="K1276" i="29"/>
  <c r="N1276" i="29"/>
  <c r="O1276" i="29"/>
  <c r="B1277" i="29"/>
  <c r="C1277" i="29"/>
  <c r="F1277" i="29"/>
  <c r="G1277" i="29"/>
  <c r="J1277" i="29"/>
  <c r="K1277" i="29"/>
  <c r="N1277" i="29"/>
  <c r="O1277" i="29"/>
  <c r="B1278" i="29"/>
  <c r="C1278" i="29"/>
  <c r="F1278" i="29"/>
  <c r="G1278" i="29"/>
  <c r="J1278" i="29"/>
  <c r="K1278" i="29"/>
  <c r="N1278" i="29"/>
  <c r="O1278" i="29"/>
  <c r="B1279" i="29"/>
  <c r="C1279" i="29"/>
  <c r="F1279" i="29"/>
  <c r="G1279" i="29"/>
  <c r="J1279" i="29"/>
  <c r="K1279" i="29"/>
  <c r="N1279" i="29"/>
  <c r="O1279" i="29"/>
  <c r="B1280" i="29"/>
  <c r="C1280" i="29"/>
  <c r="F1280" i="29"/>
  <c r="G1280" i="29"/>
  <c r="J1280" i="29"/>
  <c r="K1280" i="29"/>
  <c r="N1280" i="29"/>
  <c r="O1280" i="29"/>
  <c r="B1281" i="29"/>
  <c r="C1281" i="29"/>
  <c r="F1281" i="29"/>
  <c r="G1281" i="29"/>
  <c r="J1281" i="29"/>
  <c r="K1281" i="29"/>
  <c r="N1281" i="29"/>
  <c r="O1281" i="29"/>
  <c r="B1282" i="29"/>
  <c r="C1282" i="29"/>
  <c r="F1282" i="29"/>
  <c r="G1282" i="29"/>
  <c r="J1282" i="29"/>
  <c r="K1282" i="29"/>
  <c r="N1282" i="29"/>
  <c r="O1282" i="29"/>
  <c r="B1283" i="29"/>
  <c r="C1283" i="29"/>
  <c r="F1283" i="29"/>
  <c r="G1283" i="29"/>
  <c r="J1283" i="29"/>
  <c r="K1283" i="29"/>
  <c r="N1283" i="29"/>
  <c r="O1283" i="29"/>
  <c r="B1284" i="29"/>
  <c r="C1284" i="29"/>
  <c r="F1284" i="29"/>
  <c r="G1284" i="29"/>
  <c r="J1284" i="29"/>
  <c r="K1284" i="29"/>
  <c r="N1284" i="29"/>
  <c r="O1284" i="29"/>
  <c r="B1285" i="29"/>
  <c r="C1285" i="29"/>
  <c r="F1285" i="29"/>
  <c r="G1285" i="29"/>
  <c r="J1285" i="29"/>
  <c r="K1285" i="29"/>
  <c r="N1285" i="29"/>
  <c r="O1285" i="29"/>
  <c r="B1286" i="29"/>
  <c r="C1286" i="29"/>
  <c r="F1286" i="29"/>
  <c r="G1286" i="29"/>
  <c r="J1286" i="29"/>
  <c r="K1286" i="29"/>
  <c r="N1286" i="29"/>
  <c r="O1286" i="29"/>
  <c r="B1287" i="29"/>
  <c r="C1287" i="29"/>
  <c r="F1287" i="29"/>
  <c r="G1287" i="29"/>
  <c r="J1287" i="29"/>
  <c r="K1287" i="29"/>
  <c r="N1287" i="29"/>
  <c r="O1287" i="29"/>
  <c r="B1288" i="29"/>
  <c r="C1288" i="29"/>
  <c r="F1288" i="29"/>
  <c r="G1288" i="29"/>
  <c r="J1288" i="29"/>
  <c r="K1288" i="29"/>
  <c r="N1288" i="29"/>
  <c r="O1288" i="29"/>
  <c r="B1289" i="29"/>
  <c r="C1289" i="29"/>
  <c r="F1289" i="29"/>
  <c r="G1289" i="29"/>
  <c r="J1289" i="29"/>
  <c r="K1289" i="29"/>
  <c r="N1289" i="29"/>
  <c r="O1289" i="29"/>
  <c r="B1290" i="29"/>
  <c r="C1290" i="29"/>
  <c r="F1290" i="29"/>
  <c r="G1290" i="29"/>
  <c r="J1290" i="29"/>
  <c r="K1290" i="29"/>
  <c r="N1290" i="29"/>
  <c r="O1290" i="29"/>
  <c r="B1291" i="29"/>
  <c r="C1291" i="29"/>
  <c r="F1291" i="29"/>
  <c r="G1291" i="29"/>
  <c r="J1291" i="29"/>
  <c r="K1291" i="29"/>
  <c r="N1291" i="29"/>
  <c r="O1291" i="29"/>
  <c r="B1292" i="29"/>
  <c r="C1292" i="29"/>
  <c r="F1292" i="29"/>
  <c r="G1292" i="29"/>
  <c r="J1292" i="29"/>
  <c r="K1292" i="29"/>
  <c r="N1292" i="29"/>
  <c r="O1292" i="29"/>
  <c r="C1293" i="29"/>
  <c r="G1293" i="29"/>
  <c r="K1293" i="29"/>
  <c r="O1293" i="29"/>
  <c r="C1294" i="29"/>
  <c r="G1294" i="29"/>
  <c r="K1294" i="29"/>
  <c r="O1294" i="29"/>
  <c r="C1295" i="29"/>
  <c r="G1295" i="29"/>
  <c r="K1295" i="29"/>
  <c r="O1295" i="29"/>
  <c r="C1296" i="29"/>
  <c r="G1296" i="29"/>
  <c r="K1296" i="29"/>
  <c r="O1296" i="29"/>
  <c r="C1297" i="29"/>
  <c r="G1297" i="29"/>
  <c r="K1297" i="29"/>
  <c r="O1297" i="29"/>
  <c r="C1298" i="29"/>
  <c r="G1298" i="29"/>
  <c r="K1298" i="29"/>
  <c r="O1298" i="29"/>
  <c r="C1299" i="29"/>
  <c r="G1299" i="29"/>
  <c r="K1299" i="29"/>
  <c r="O1299" i="29"/>
  <c r="C1300" i="29"/>
  <c r="G1300" i="29"/>
  <c r="K1300" i="29"/>
  <c r="O1300" i="29"/>
  <c r="C1301" i="29"/>
  <c r="G1301" i="29"/>
  <c r="K1301" i="29"/>
  <c r="O1301" i="29"/>
  <c r="C1302" i="29"/>
  <c r="G1302" i="29"/>
  <c r="K1302" i="29"/>
  <c r="O1302" i="29"/>
  <c r="C1303" i="29"/>
  <c r="G1303" i="29"/>
  <c r="K1303" i="29"/>
  <c r="O1303" i="29"/>
  <c r="C1304" i="29"/>
  <c r="G1304" i="29"/>
  <c r="K1304" i="29"/>
  <c r="O1304" i="29"/>
  <c r="C1305" i="29"/>
  <c r="G1305" i="29"/>
  <c r="K1305" i="29"/>
  <c r="O1305" i="29"/>
  <c r="C1306" i="29"/>
  <c r="G1306" i="29"/>
  <c r="K1306" i="29"/>
  <c r="O1306" i="29"/>
  <c r="C1307" i="29"/>
  <c r="G1307" i="29"/>
  <c r="K1307" i="29"/>
  <c r="O1307" i="29"/>
  <c r="C1308" i="29"/>
  <c r="G1308" i="29"/>
  <c r="K1308" i="29"/>
  <c r="O1308" i="29"/>
  <c r="C1309" i="29"/>
  <c r="G1309" i="29"/>
  <c r="K1309" i="29"/>
  <c r="O1309" i="29"/>
  <c r="C1310" i="29"/>
  <c r="G1310" i="29"/>
  <c r="K1310" i="29"/>
  <c r="O1310" i="29"/>
  <c r="C1311" i="29"/>
  <c r="G1311" i="29"/>
  <c r="K1311" i="29"/>
  <c r="O1311" i="29"/>
  <c r="C1312" i="29"/>
  <c r="G1312" i="29"/>
  <c r="K1312" i="29"/>
  <c r="O1312" i="29"/>
  <c r="C1313" i="29"/>
  <c r="G1313" i="29"/>
  <c r="K1313" i="29"/>
  <c r="O1313" i="29"/>
  <c r="C1314" i="29"/>
  <c r="G1314" i="29"/>
  <c r="K1314" i="29"/>
  <c r="O1314" i="29"/>
  <c r="C1315" i="29"/>
  <c r="G1315" i="29"/>
  <c r="K1315" i="29"/>
  <c r="O1315" i="29"/>
  <c r="C1316" i="29"/>
  <c r="G1316" i="29"/>
  <c r="K1316" i="29"/>
  <c r="O1316" i="29"/>
  <c r="C1317" i="29"/>
  <c r="G1317" i="29"/>
  <c r="K1317" i="29"/>
  <c r="O1317" i="29"/>
  <c r="C1318" i="29"/>
  <c r="G1318" i="29"/>
  <c r="K1318" i="29"/>
  <c r="O1318" i="29"/>
  <c r="C1319" i="29"/>
  <c r="G1319" i="29"/>
  <c r="K1319" i="29"/>
  <c r="O1319" i="29"/>
  <c r="C1320" i="29"/>
  <c r="G1320" i="29"/>
  <c r="K1320" i="29"/>
  <c r="O1320" i="29"/>
  <c r="C1321" i="29"/>
  <c r="G1321" i="29"/>
  <c r="K1321" i="29"/>
  <c r="O1321" i="29"/>
  <c r="C1322" i="29"/>
  <c r="G1322" i="29"/>
  <c r="K1322" i="29"/>
  <c r="O1322" i="29"/>
  <c r="C1323" i="29"/>
  <c r="G1323" i="29"/>
  <c r="K1323" i="29"/>
  <c r="O1323" i="29"/>
  <c r="C1324" i="29"/>
  <c r="G1324" i="29"/>
  <c r="K1324" i="29"/>
  <c r="O1324" i="29"/>
  <c r="C1325" i="29"/>
  <c r="G1325" i="29"/>
  <c r="K1325" i="29"/>
  <c r="O1325" i="29"/>
  <c r="C1326" i="29"/>
  <c r="G1326" i="29"/>
  <c r="K1326" i="29"/>
  <c r="O1326" i="29"/>
  <c r="C1327" i="29"/>
  <c r="G1327" i="29"/>
  <c r="K1327" i="29"/>
  <c r="O1327" i="29"/>
  <c r="C1328" i="29"/>
  <c r="G1328" i="29"/>
  <c r="K1328" i="29"/>
  <c r="O1328" i="29"/>
  <c r="C1329" i="29"/>
  <c r="G1329" i="29"/>
  <c r="K1329" i="29"/>
  <c r="O1329" i="29"/>
  <c r="C1330" i="29"/>
  <c r="G1330" i="29"/>
  <c r="K1330" i="29"/>
  <c r="O1330" i="29"/>
  <c r="C1331" i="29"/>
  <c r="G1331" i="29"/>
  <c r="K1331" i="29"/>
  <c r="O1331" i="29"/>
  <c r="C1332" i="29"/>
  <c r="G1332" i="29"/>
  <c r="K1332" i="29"/>
  <c r="O1332" i="29"/>
  <c r="C1333" i="29"/>
  <c r="G1333" i="29"/>
  <c r="K1333" i="29"/>
  <c r="O1333" i="29"/>
  <c r="C1334" i="29"/>
  <c r="G1334" i="29"/>
  <c r="K1334" i="29"/>
  <c r="O1334" i="29"/>
  <c r="C1335" i="29"/>
  <c r="G1335" i="29"/>
  <c r="K1335" i="29"/>
  <c r="O1335" i="29"/>
  <c r="C1336" i="29"/>
  <c r="G1336" i="29"/>
  <c r="K1336" i="29"/>
  <c r="O1336" i="29"/>
  <c r="C1337" i="29"/>
  <c r="G1337" i="29"/>
  <c r="K1337" i="29"/>
  <c r="O1337" i="29"/>
  <c r="C1338" i="29"/>
  <c r="G1338" i="29"/>
  <c r="K1338" i="29"/>
  <c r="O1338" i="29"/>
  <c r="C1339" i="29"/>
  <c r="G1339" i="29"/>
  <c r="K1339" i="29"/>
  <c r="O1339" i="29"/>
  <c r="C1340" i="29"/>
  <c r="G1340" i="29"/>
  <c r="K1340" i="29"/>
  <c r="O1340" i="29"/>
  <c r="C1341" i="29"/>
  <c r="G1341" i="29"/>
  <c r="K1341" i="29"/>
  <c r="O1341" i="29"/>
  <c r="C1342" i="29"/>
  <c r="G1342" i="29"/>
  <c r="K1342" i="29"/>
  <c r="O1342" i="29"/>
  <c r="C1343" i="29"/>
  <c r="G1343" i="29"/>
  <c r="K1343" i="29"/>
  <c r="O1343" i="29"/>
  <c r="C1344" i="29"/>
  <c r="G1344" i="29"/>
  <c r="K1344" i="29"/>
  <c r="O1344" i="29"/>
  <c r="C1345" i="29"/>
  <c r="G1345" i="29"/>
  <c r="K1345" i="29"/>
  <c r="O1345" i="29"/>
  <c r="C1346" i="29"/>
  <c r="G1346" i="29"/>
  <c r="K1346" i="29"/>
  <c r="O1346" i="29"/>
  <c r="C1347" i="29"/>
  <c r="G1347" i="29"/>
  <c r="K1347" i="29"/>
  <c r="O1347" i="29"/>
  <c r="C1348" i="29"/>
  <c r="G1348" i="29"/>
  <c r="K1348" i="29"/>
  <c r="O1348" i="29"/>
  <c r="C1349" i="29"/>
  <c r="G1349" i="29"/>
  <c r="K1349" i="29"/>
  <c r="O1349" i="29"/>
  <c r="C1350" i="29"/>
  <c r="G1350" i="29"/>
  <c r="K1350" i="29"/>
  <c r="O1350" i="29"/>
  <c r="C1351" i="29"/>
  <c r="G1351" i="29"/>
  <c r="K1351" i="29"/>
  <c r="O1351" i="29"/>
  <c r="C1352" i="29"/>
  <c r="G1352" i="29"/>
  <c r="K1352" i="29"/>
  <c r="O1352" i="29"/>
  <c r="C1353" i="29"/>
  <c r="G1353" i="29"/>
  <c r="K1353" i="29"/>
  <c r="O1353" i="29"/>
  <c r="C1354" i="29"/>
  <c r="G1354" i="29"/>
  <c r="K1354" i="29"/>
  <c r="O1354" i="29"/>
  <c r="C1355" i="29"/>
  <c r="G1355" i="29"/>
  <c r="K1355" i="29"/>
  <c r="O1355" i="29"/>
  <c r="C1356" i="29"/>
  <c r="G1356" i="29"/>
  <c r="K1356" i="29"/>
  <c r="O1356" i="29"/>
  <c r="C1357" i="29"/>
  <c r="G1357" i="29"/>
  <c r="K1357" i="29"/>
  <c r="O1357" i="29"/>
  <c r="C1358" i="29"/>
  <c r="G1358" i="29"/>
  <c r="K1358" i="29"/>
  <c r="O1358" i="29"/>
  <c r="C1359" i="29"/>
  <c r="G1359" i="29"/>
  <c r="K1359" i="29"/>
  <c r="O1359" i="29"/>
  <c r="C1360" i="29"/>
  <c r="G1360" i="29"/>
  <c r="K1360" i="29"/>
  <c r="O1360" i="29"/>
  <c r="C1361" i="29"/>
  <c r="G1361" i="29"/>
  <c r="K1361" i="29"/>
  <c r="O1361" i="29"/>
  <c r="C1362" i="29"/>
  <c r="G1362" i="29"/>
  <c r="K1362" i="29"/>
  <c r="O1362" i="29"/>
  <c r="C1363" i="29"/>
  <c r="G1363" i="29"/>
  <c r="K1363" i="29"/>
  <c r="O1363" i="29"/>
  <c r="C1364" i="29"/>
  <c r="G1364" i="29"/>
  <c r="K1364" i="29"/>
  <c r="O1364" i="29"/>
  <c r="C1365" i="29"/>
  <c r="G1365" i="29"/>
  <c r="K1365" i="29"/>
  <c r="O1365" i="29"/>
  <c r="C1366" i="29"/>
  <c r="G1366" i="29"/>
  <c r="K1366" i="29"/>
  <c r="O1366" i="29"/>
  <c r="C1367" i="29"/>
  <c r="G1367" i="29"/>
  <c r="K1367" i="29"/>
  <c r="O1367" i="29"/>
  <c r="C1368" i="29"/>
  <c r="G1368" i="29"/>
  <c r="K1368" i="29"/>
  <c r="O1368" i="29"/>
  <c r="C1369" i="29"/>
  <c r="G1369" i="29"/>
  <c r="K1369" i="29"/>
  <c r="O1369" i="29"/>
  <c r="C1370" i="29"/>
  <c r="G1370" i="29"/>
  <c r="K1370" i="29"/>
  <c r="O1370" i="29"/>
  <c r="C1371" i="29"/>
  <c r="G1371" i="29"/>
  <c r="K1371" i="29"/>
  <c r="O1371" i="29"/>
  <c r="C1372" i="29"/>
  <c r="G1372" i="29"/>
  <c r="K1372" i="29"/>
  <c r="O1372" i="29"/>
  <c r="C1373" i="29"/>
  <c r="G1373" i="29"/>
  <c r="K1373" i="29"/>
  <c r="O1373" i="29"/>
  <c r="C1374" i="29"/>
  <c r="G1374" i="29"/>
  <c r="K1374" i="29"/>
  <c r="O1374" i="29"/>
  <c r="C1375" i="29"/>
  <c r="G1375" i="29"/>
  <c r="K1375" i="29"/>
  <c r="O1375" i="29"/>
  <c r="C1376" i="29"/>
  <c r="G1376" i="29"/>
  <c r="K1376" i="29"/>
  <c r="O1376" i="29"/>
  <c r="C1377" i="29"/>
  <c r="G1377" i="29"/>
  <c r="K1377" i="29"/>
  <c r="O1377" i="29"/>
  <c r="C1378" i="29"/>
  <c r="G1378" i="29"/>
  <c r="K1378" i="29"/>
  <c r="O1378" i="29"/>
  <c r="C1379" i="29"/>
  <c r="G1379" i="29"/>
  <c r="K1379" i="29"/>
  <c r="O1379" i="29"/>
  <c r="C1380" i="29"/>
  <c r="G1380" i="29"/>
  <c r="K1380" i="29"/>
  <c r="O1380" i="29"/>
  <c r="C1381" i="29"/>
  <c r="G1381" i="29"/>
  <c r="K1381" i="29"/>
  <c r="O1381" i="29"/>
  <c r="C1382" i="29"/>
  <c r="G1382" i="29"/>
  <c r="K1382" i="29"/>
  <c r="O1382" i="29"/>
  <c r="C1383" i="29"/>
  <c r="G1383" i="29"/>
  <c r="K1383" i="29"/>
  <c r="O1383" i="29"/>
  <c r="C1384" i="29"/>
  <c r="G1384" i="29"/>
  <c r="K1384" i="29"/>
  <c r="O1384" i="29"/>
  <c r="C1385" i="29"/>
  <c r="G1385" i="29"/>
  <c r="K1385" i="29"/>
  <c r="O1385" i="29"/>
  <c r="C1386" i="29"/>
  <c r="G1386" i="29"/>
  <c r="K1386" i="29"/>
  <c r="O1386" i="29"/>
  <c r="C1387" i="29"/>
  <c r="G1387" i="29"/>
  <c r="K1387" i="29"/>
  <c r="O1387" i="29"/>
  <c r="C1388" i="29"/>
  <c r="G1388" i="29"/>
  <c r="K1388" i="29"/>
  <c r="O1388" i="29"/>
  <c r="C1389" i="29"/>
  <c r="G1389" i="29"/>
  <c r="K1389" i="29"/>
  <c r="O1389" i="29"/>
  <c r="C1390" i="29"/>
  <c r="G1390" i="29"/>
  <c r="K1390" i="29"/>
  <c r="O1390" i="29"/>
  <c r="C1391" i="29"/>
  <c r="G1391" i="29"/>
  <c r="K1391" i="29"/>
  <c r="O1391" i="29"/>
  <c r="C1392" i="29"/>
  <c r="G1392" i="29"/>
  <c r="K1392" i="29"/>
  <c r="O1392" i="29"/>
  <c r="C1393" i="29"/>
  <c r="G1393" i="29"/>
  <c r="K1393" i="29"/>
  <c r="O1393" i="29"/>
  <c r="C1394" i="29"/>
  <c r="G1394" i="29"/>
  <c r="K1394" i="29"/>
  <c r="O1394" i="29"/>
  <c r="C1395" i="29"/>
  <c r="G1395" i="29"/>
  <c r="K1395" i="29"/>
  <c r="O1395" i="29"/>
  <c r="C1396" i="29"/>
  <c r="G1396" i="29"/>
  <c r="K1396" i="29"/>
  <c r="O1396" i="29"/>
  <c r="C1397" i="29"/>
  <c r="G1397" i="29"/>
  <c r="K1397" i="29"/>
  <c r="O1397" i="29"/>
  <c r="C1398" i="29"/>
  <c r="G1398" i="29"/>
  <c r="K1398" i="29"/>
  <c r="O1398" i="29"/>
  <c r="C1399" i="29"/>
  <c r="G1399" i="29"/>
  <c r="K1399" i="29"/>
  <c r="O1399" i="29"/>
  <c r="C1400" i="29"/>
  <c r="G1400" i="29"/>
  <c r="K1400" i="29"/>
  <c r="O1400" i="29"/>
  <c r="C1401" i="29"/>
  <c r="G1401" i="29"/>
  <c r="K1401" i="29"/>
  <c r="O1401" i="29"/>
  <c r="C1402" i="29"/>
  <c r="G1402" i="29"/>
  <c r="K1402" i="29"/>
  <c r="O1402" i="29"/>
  <c r="C1403" i="29"/>
  <c r="G1403" i="29"/>
  <c r="K1403" i="29"/>
  <c r="O1403" i="29"/>
  <c r="C1404" i="29"/>
  <c r="G1404" i="29"/>
  <c r="K1404" i="29"/>
  <c r="O1404" i="29"/>
  <c r="C1405" i="29"/>
  <c r="G1405" i="29"/>
  <c r="K1405" i="29"/>
  <c r="O1405" i="29"/>
  <c r="C1406" i="29"/>
  <c r="G1406" i="29"/>
  <c r="K1406" i="29"/>
  <c r="O1406" i="29"/>
  <c r="C1407" i="29"/>
  <c r="G1407" i="29"/>
  <c r="K1407" i="29"/>
  <c r="O1407" i="29"/>
  <c r="C1408" i="29"/>
  <c r="G1408" i="29"/>
  <c r="K1408" i="29"/>
  <c r="O1408" i="29"/>
  <c r="C1409" i="29"/>
  <c r="G1409" i="29"/>
  <c r="K1409" i="29"/>
  <c r="O1409" i="29"/>
  <c r="C1410" i="29"/>
  <c r="G1410" i="29"/>
  <c r="K1410" i="29"/>
  <c r="O1410" i="29"/>
  <c r="C1411" i="29"/>
  <c r="G1411" i="29"/>
  <c r="K1411" i="29"/>
  <c r="O1411" i="29"/>
  <c r="C1412" i="29"/>
  <c r="G1412" i="29"/>
  <c r="K1412" i="29"/>
  <c r="O1412" i="29"/>
  <c r="C1413" i="29"/>
  <c r="G1413" i="29"/>
  <c r="K1413" i="29"/>
  <c r="O1413" i="29"/>
  <c r="C1414" i="29"/>
  <c r="G1414" i="29"/>
  <c r="K1414" i="29"/>
  <c r="O1414" i="29"/>
  <c r="C1415" i="29"/>
  <c r="G1415" i="29"/>
  <c r="K1415" i="29"/>
  <c r="O1415" i="29"/>
  <c r="C1416" i="29"/>
  <c r="G1416" i="29"/>
  <c r="K1416" i="29"/>
  <c r="O1416" i="29"/>
  <c r="C1417" i="29"/>
  <c r="G1417" i="29"/>
  <c r="K1417" i="29"/>
  <c r="O1417" i="29"/>
  <c r="C1418" i="29"/>
  <c r="G1418" i="29"/>
  <c r="K1418" i="29"/>
  <c r="O1418" i="29"/>
  <c r="C1419" i="29"/>
  <c r="G1419" i="29"/>
  <c r="K1419" i="29"/>
  <c r="O1419" i="29"/>
  <c r="C1420" i="29"/>
  <c r="G1420" i="29"/>
  <c r="K1420" i="29"/>
  <c r="O1420" i="29"/>
  <c r="C1421" i="29"/>
  <c r="G1421" i="29"/>
  <c r="K1421" i="29"/>
  <c r="O1421" i="29"/>
  <c r="C1422" i="29"/>
  <c r="G1422" i="29"/>
  <c r="K1422" i="29"/>
  <c r="O1422" i="29"/>
  <c r="C1423" i="29"/>
  <c r="G1423" i="29"/>
  <c r="K1423" i="29"/>
  <c r="O1423" i="29"/>
  <c r="C1424" i="29"/>
  <c r="G1424" i="29"/>
  <c r="K1424" i="29"/>
  <c r="O1424" i="29"/>
  <c r="C1425" i="29"/>
  <c r="G1425" i="29"/>
  <c r="K1425" i="29"/>
  <c r="O1425" i="29"/>
  <c r="C1426" i="29"/>
  <c r="G1426" i="29"/>
  <c r="K1426" i="29"/>
  <c r="O1426" i="29"/>
  <c r="C1427" i="29"/>
  <c r="G1427" i="29"/>
  <c r="K1427" i="29"/>
  <c r="O1427" i="29"/>
  <c r="C1428" i="29"/>
  <c r="G1428" i="29"/>
  <c r="K1428" i="29"/>
  <c r="O1428" i="29"/>
  <c r="C1429" i="29"/>
  <c r="G1429" i="29"/>
  <c r="K1429" i="29"/>
  <c r="O1429" i="29"/>
  <c r="C1430" i="29"/>
  <c r="G1430" i="29"/>
  <c r="K1430" i="29"/>
  <c r="O1430" i="29"/>
  <c r="C1431" i="29"/>
  <c r="G1431" i="29"/>
  <c r="K1431" i="29"/>
  <c r="O1431" i="29"/>
  <c r="C1432" i="29"/>
  <c r="G1432" i="29"/>
  <c r="K1432" i="29"/>
  <c r="O1432" i="29"/>
  <c r="C1433" i="29"/>
  <c r="G1433" i="29"/>
  <c r="K1433" i="29"/>
  <c r="O1433" i="29"/>
  <c r="C1434" i="29"/>
  <c r="G1434" i="29"/>
  <c r="K1434" i="29"/>
  <c r="O1434" i="29"/>
  <c r="C1435" i="29"/>
  <c r="G1435" i="29"/>
  <c r="K1435" i="29"/>
  <c r="O1435" i="29"/>
  <c r="C1436" i="29"/>
  <c r="G1436" i="29"/>
  <c r="K1436" i="29"/>
  <c r="O1436" i="29"/>
  <c r="C1437" i="29"/>
  <c r="G1437" i="29"/>
  <c r="K1437" i="29"/>
  <c r="O1437" i="29"/>
  <c r="C1438" i="29"/>
  <c r="G1438" i="29"/>
  <c r="K1438" i="29"/>
  <c r="O1438" i="29"/>
  <c r="C1439" i="29"/>
  <c r="G1439" i="29"/>
  <c r="K1439" i="29"/>
  <c r="O1439" i="29"/>
  <c r="C1440" i="29"/>
  <c r="G1440" i="29"/>
  <c r="K1440" i="29"/>
  <c r="O1440" i="29"/>
  <c r="C1441" i="29"/>
  <c r="G1441" i="29"/>
  <c r="K1441" i="29"/>
  <c r="O1441" i="29"/>
  <c r="B1442" i="29"/>
  <c r="C1442" i="29"/>
  <c r="F1442" i="29"/>
  <c r="G1442" i="29"/>
  <c r="J1442" i="29"/>
  <c r="K1442" i="29"/>
  <c r="N1442" i="29"/>
  <c r="O1442" i="29"/>
  <c r="B1443" i="29"/>
  <c r="C1443" i="29"/>
  <c r="F1443" i="29"/>
  <c r="G1443" i="29"/>
  <c r="J1443" i="29"/>
  <c r="K1443" i="29"/>
  <c r="N1443" i="29"/>
  <c r="O1443" i="29"/>
  <c r="B1444" i="29"/>
  <c r="C1444" i="29"/>
  <c r="F1444" i="29"/>
  <c r="G1444" i="29"/>
  <c r="J1444" i="29"/>
  <c r="K1444" i="29"/>
  <c r="N1444" i="29"/>
  <c r="O1444" i="29"/>
  <c r="B1445" i="29"/>
  <c r="C1445" i="29"/>
  <c r="F1445" i="29"/>
  <c r="G1445" i="29"/>
  <c r="J1445" i="29"/>
  <c r="K1445" i="29"/>
  <c r="N1445" i="29"/>
  <c r="O1445" i="29"/>
  <c r="B1446" i="29"/>
  <c r="C1446" i="29"/>
  <c r="F1446" i="29"/>
  <c r="G1446" i="29"/>
  <c r="J1446" i="29"/>
  <c r="K1446" i="29"/>
  <c r="N1446" i="29"/>
  <c r="O1446" i="29"/>
  <c r="B1447" i="29"/>
  <c r="C1447" i="29"/>
  <c r="F1447" i="29"/>
  <c r="G1447" i="29"/>
  <c r="J1447" i="29"/>
  <c r="K1447" i="29"/>
  <c r="N1447" i="29"/>
  <c r="O1447" i="29"/>
  <c r="B1448" i="29"/>
  <c r="C1448" i="29"/>
  <c r="F1448" i="29"/>
  <c r="G1448" i="29"/>
  <c r="J1448" i="29"/>
  <c r="K1448" i="29"/>
  <c r="N1448" i="29"/>
  <c r="O1448" i="29"/>
  <c r="B1449" i="29"/>
  <c r="C1449" i="29"/>
  <c r="F1449" i="29"/>
  <c r="G1449" i="29"/>
  <c r="J1449" i="29"/>
  <c r="K1449" i="29"/>
  <c r="N1449" i="29"/>
  <c r="O1449" i="29"/>
  <c r="B1450" i="29"/>
  <c r="C1450" i="29"/>
  <c r="F1450" i="29"/>
  <c r="G1450" i="29"/>
  <c r="J1450" i="29"/>
  <c r="K1450" i="29"/>
  <c r="N1450" i="29"/>
  <c r="O1450" i="29"/>
  <c r="B1451" i="29"/>
  <c r="C1451" i="29"/>
  <c r="F1451" i="29"/>
  <c r="G1451" i="29"/>
  <c r="J1451" i="29"/>
  <c r="K1451" i="29"/>
  <c r="N1451" i="29"/>
  <c r="O1451" i="29"/>
  <c r="B1452" i="29"/>
  <c r="C1452" i="29"/>
  <c r="F1452" i="29"/>
  <c r="G1452" i="29"/>
  <c r="J1452" i="29"/>
  <c r="K1452" i="29"/>
  <c r="N1452" i="29"/>
  <c r="O1452" i="29"/>
  <c r="B1453" i="29"/>
  <c r="C1453" i="29"/>
  <c r="F1453" i="29"/>
  <c r="G1453" i="29"/>
  <c r="J1453" i="29"/>
  <c r="K1453" i="29"/>
  <c r="N1453" i="29"/>
  <c r="O1453" i="29"/>
  <c r="B1454" i="29"/>
  <c r="C1454" i="29"/>
  <c r="F1454" i="29"/>
  <c r="G1454" i="29"/>
  <c r="J1454" i="29"/>
  <c r="K1454" i="29"/>
  <c r="N1454" i="29"/>
  <c r="O1454" i="29"/>
  <c r="B1455" i="29"/>
  <c r="C1455" i="29"/>
  <c r="F1455" i="29"/>
  <c r="G1455" i="29"/>
  <c r="J1455" i="29"/>
  <c r="K1455" i="29"/>
  <c r="N1455" i="29"/>
  <c r="O1455" i="29"/>
  <c r="B1456" i="29"/>
  <c r="C1456" i="29"/>
  <c r="F1456" i="29"/>
  <c r="G1456" i="29"/>
  <c r="J1456" i="29"/>
  <c r="K1456" i="29"/>
  <c r="N1456" i="29"/>
  <c r="O1456" i="29"/>
  <c r="B1457" i="29"/>
  <c r="C1457" i="29"/>
  <c r="F1457" i="29"/>
  <c r="G1457" i="29"/>
  <c r="J1457" i="29"/>
  <c r="K1457" i="29"/>
  <c r="N1457" i="29"/>
  <c r="O1457" i="29"/>
  <c r="B1458" i="29"/>
  <c r="C1458" i="29"/>
  <c r="F1458" i="29"/>
  <c r="G1458" i="29"/>
  <c r="J1458" i="29"/>
  <c r="K1458" i="29"/>
  <c r="N1458" i="29"/>
  <c r="O1458" i="29"/>
  <c r="B1459" i="29"/>
  <c r="C1459" i="29"/>
  <c r="F1459" i="29"/>
  <c r="G1459" i="29"/>
  <c r="J1459" i="29"/>
  <c r="K1459" i="29"/>
  <c r="N1459" i="29"/>
  <c r="O1459" i="29"/>
  <c r="B1460" i="29"/>
  <c r="C1460" i="29"/>
  <c r="F1460" i="29"/>
  <c r="G1460" i="29"/>
  <c r="J1460" i="29"/>
  <c r="K1460" i="29"/>
  <c r="N1460" i="29"/>
  <c r="O1460" i="29"/>
  <c r="B1461" i="29"/>
  <c r="C1461" i="29"/>
  <c r="F1461" i="29"/>
  <c r="G1461" i="29"/>
  <c r="J1461" i="29"/>
  <c r="K1461" i="29"/>
  <c r="N1461" i="29"/>
  <c r="O1461" i="29"/>
  <c r="B1462" i="29"/>
  <c r="C1462" i="29"/>
  <c r="F1462" i="29"/>
  <c r="G1462" i="29"/>
  <c r="J1462" i="29"/>
  <c r="K1462" i="29"/>
  <c r="N1462" i="29"/>
  <c r="O1462" i="29"/>
  <c r="B1463" i="29"/>
  <c r="C1463" i="29"/>
  <c r="F1463" i="29"/>
  <c r="G1463" i="29"/>
  <c r="J1463" i="29"/>
  <c r="K1463" i="29"/>
  <c r="N1463" i="29"/>
  <c r="O1463" i="29"/>
  <c r="B1464" i="29"/>
  <c r="C1464" i="29"/>
  <c r="F1464" i="29"/>
  <c r="G1464" i="29"/>
  <c r="J1464" i="29"/>
  <c r="K1464" i="29"/>
  <c r="N1464" i="29"/>
  <c r="O1464" i="29"/>
  <c r="B1465" i="29"/>
  <c r="C1465" i="29"/>
  <c r="F1465" i="29"/>
  <c r="G1465" i="29"/>
  <c r="J1465" i="29"/>
  <c r="K1465" i="29"/>
  <c r="N1465" i="29"/>
  <c r="O1465" i="29"/>
  <c r="B1466" i="29"/>
  <c r="C1466" i="29"/>
  <c r="F1466" i="29"/>
  <c r="G1466" i="29"/>
  <c r="J1466" i="29"/>
  <c r="K1466" i="29"/>
  <c r="N1466" i="29"/>
  <c r="O1466" i="29"/>
  <c r="B1467" i="29"/>
  <c r="C1467" i="29"/>
  <c r="F1467" i="29"/>
  <c r="G1467" i="29"/>
  <c r="J1467" i="29"/>
  <c r="K1467" i="29"/>
  <c r="N1467" i="29"/>
  <c r="O1467" i="29"/>
  <c r="B1468" i="29"/>
  <c r="C1468" i="29"/>
  <c r="F1468" i="29"/>
  <c r="G1468" i="29"/>
  <c r="J1468" i="29"/>
  <c r="K1468" i="29"/>
  <c r="N1468" i="29"/>
  <c r="O1468" i="29"/>
  <c r="B1469" i="29"/>
  <c r="C1469" i="29"/>
  <c r="F1469" i="29"/>
  <c r="G1469" i="29"/>
  <c r="J1469" i="29"/>
  <c r="K1469" i="29"/>
  <c r="N1469" i="29"/>
  <c r="O1469" i="29"/>
  <c r="B1470" i="29"/>
  <c r="C1470" i="29"/>
  <c r="F1470" i="29"/>
  <c r="G1470" i="29"/>
  <c r="J1470" i="29"/>
  <c r="K1470" i="29"/>
  <c r="N1470" i="29"/>
  <c r="O1470" i="29"/>
  <c r="B1471" i="29"/>
  <c r="C1471" i="29"/>
  <c r="F1471" i="29"/>
  <c r="G1471" i="29"/>
  <c r="J1471" i="29"/>
  <c r="K1471" i="29"/>
  <c r="N1471" i="29"/>
  <c r="O1471" i="29"/>
  <c r="B1472" i="29"/>
  <c r="C1472" i="29"/>
  <c r="F1472" i="29"/>
  <c r="G1472" i="29"/>
  <c r="J1472" i="29"/>
  <c r="K1472" i="29"/>
  <c r="N1472" i="29"/>
  <c r="O1472" i="29"/>
  <c r="C1473" i="29"/>
  <c r="G1473" i="29"/>
  <c r="K1473" i="29"/>
  <c r="O1473" i="29"/>
  <c r="C1474" i="29"/>
  <c r="G1474" i="29"/>
  <c r="K1474" i="29"/>
  <c r="O1474" i="29"/>
  <c r="C1475" i="29"/>
  <c r="G1475" i="29"/>
  <c r="K1475" i="29"/>
  <c r="O1475" i="29"/>
  <c r="C1476" i="29"/>
  <c r="G1476" i="29"/>
  <c r="K1476" i="29"/>
  <c r="O1476" i="29"/>
  <c r="C1477" i="29"/>
  <c r="G1477" i="29"/>
  <c r="K1477" i="29"/>
  <c r="O1477" i="29"/>
  <c r="C1478" i="29"/>
  <c r="G1478" i="29"/>
  <c r="K1478" i="29"/>
  <c r="O1478" i="29"/>
  <c r="C1479" i="29"/>
  <c r="G1479" i="29"/>
  <c r="K1479" i="29"/>
  <c r="O1479" i="29"/>
  <c r="C1480" i="29"/>
  <c r="G1480" i="29"/>
  <c r="K1480" i="29"/>
  <c r="O1480" i="29"/>
  <c r="C1481" i="29"/>
  <c r="G1481" i="29"/>
  <c r="K1481" i="29"/>
  <c r="O1481" i="29"/>
  <c r="C1482" i="29"/>
  <c r="G1482" i="29"/>
  <c r="K1482" i="29"/>
  <c r="O1482" i="29"/>
  <c r="C1483" i="29"/>
  <c r="G1483" i="29"/>
  <c r="K1483" i="29"/>
  <c r="O1483" i="29"/>
  <c r="C1484" i="29"/>
  <c r="G1484" i="29"/>
  <c r="K1484" i="29"/>
  <c r="O1484" i="29"/>
  <c r="C1485" i="29"/>
  <c r="G1485" i="29"/>
  <c r="K1485" i="29"/>
  <c r="O1485" i="29"/>
  <c r="C1486" i="29"/>
  <c r="G1486" i="29"/>
  <c r="K1486" i="29"/>
  <c r="O1486" i="29"/>
  <c r="C1487" i="29"/>
  <c r="G1487" i="29"/>
  <c r="K1487" i="29"/>
  <c r="O1487" i="29"/>
  <c r="C1488" i="29"/>
  <c r="G1488" i="29"/>
  <c r="K1488" i="29"/>
  <c r="O1488" i="29"/>
  <c r="C1489" i="29"/>
  <c r="G1489" i="29"/>
  <c r="K1489" i="29"/>
  <c r="O1489" i="29"/>
  <c r="C1490" i="29"/>
  <c r="G1490" i="29"/>
  <c r="K1490" i="29"/>
  <c r="O1490" i="29"/>
  <c r="C1491" i="29"/>
  <c r="G1491" i="29"/>
  <c r="K1491" i="29"/>
  <c r="O1491" i="29"/>
  <c r="C1492" i="29"/>
  <c r="G1492" i="29"/>
  <c r="K1492" i="29"/>
  <c r="O1492" i="29"/>
  <c r="C1493" i="29"/>
  <c r="G1493" i="29"/>
  <c r="K1493" i="29"/>
  <c r="O1493" i="29"/>
  <c r="C1494" i="29"/>
  <c r="G1494" i="29"/>
  <c r="K1494" i="29"/>
  <c r="O1494" i="29"/>
  <c r="C1495" i="29"/>
  <c r="G1495" i="29"/>
  <c r="K1495" i="29"/>
  <c r="O1495" i="29"/>
  <c r="C1496" i="29"/>
  <c r="G1496" i="29"/>
  <c r="K1496" i="29"/>
  <c r="O1496" i="29"/>
  <c r="C1497" i="29"/>
  <c r="G1497" i="29"/>
  <c r="K1497" i="29"/>
  <c r="O1497" i="29"/>
  <c r="C1498" i="29"/>
  <c r="G1498" i="29"/>
  <c r="K1498" i="29"/>
  <c r="O1498" i="29"/>
  <c r="C1499" i="29"/>
  <c r="G1499" i="29"/>
  <c r="K1499" i="29"/>
  <c r="O1499" i="29"/>
  <c r="C1500" i="29"/>
  <c r="G1500" i="29"/>
  <c r="K1500" i="29"/>
  <c r="O1500" i="29"/>
  <c r="C1501" i="29"/>
  <c r="G1501" i="29"/>
  <c r="K1501" i="29"/>
  <c r="O1501" i="29"/>
  <c r="C1502" i="29"/>
  <c r="G1502" i="29"/>
  <c r="K1502" i="29"/>
  <c r="O1502" i="29"/>
  <c r="C1503" i="29"/>
  <c r="G1503" i="29"/>
  <c r="K1503" i="29"/>
  <c r="O1503" i="29"/>
  <c r="C1504" i="29"/>
  <c r="G1504" i="29"/>
  <c r="K1504" i="29"/>
  <c r="O1504" i="29"/>
  <c r="C1505" i="29"/>
  <c r="G1505" i="29"/>
  <c r="K1505" i="29"/>
  <c r="O1505" i="29"/>
  <c r="C1506" i="29"/>
  <c r="G1506" i="29"/>
  <c r="K1506" i="29"/>
  <c r="O1506" i="29"/>
  <c r="C1507" i="29"/>
  <c r="G1507" i="29"/>
  <c r="K1507" i="29"/>
  <c r="O1507" i="29"/>
  <c r="C1508" i="29"/>
  <c r="G1508" i="29"/>
  <c r="K1508" i="29"/>
  <c r="O1508" i="29"/>
  <c r="C1509" i="29"/>
  <c r="G1509" i="29"/>
  <c r="K1509" i="29"/>
  <c r="O1509" i="29"/>
  <c r="C1510" i="29"/>
  <c r="G1510" i="29"/>
  <c r="K1510" i="29"/>
  <c r="O1510" i="29"/>
  <c r="C1511" i="29"/>
  <c r="G1511" i="29"/>
  <c r="K1511" i="29"/>
  <c r="O1511" i="29"/>
  <c r="C1512" i="29"/>
  <c r="G1512" i="29"/>
  <c r="K1512" i="29"/>
  <c r="O1512" i="29"/>
  <c r="C1513" i="29"/>
  <c r="G1513" i="29"/>
  <c r="K1513" i="29"/>
  <c r="O1513" i="29"/>
  <c r="C1514" i="29"/>
  <c r="G1514" i="29"/>
  <c r="K1514" i="29"/>
  <c r="O1514" i="29"/>
  <c r="C1515" i="29"/>
  <c r="G1515" i="29"/>
  <c r="K1515" i="29"/>
  <c r="O1515" i="29"/>
  <c r="C1516" i="29"/>
  <c r="G1516" i="29"/>
  <c r="K1516" i="29"/>
  <c r="O1516" i="29"/>
  <c r="C1517" i="29"/>
  <c r="G1517" i="29"/>
  <c r="K1517" i="29"/>
  <c r="O1517" i="29"/>
  <c r="C1518" i="29"/>
  <c r="G1518" i="29"/>
  <c r="K1518" i="29"/>
  <c r="O1518" i="29"/>
  <c r="C1519" i="29"/>
  <c r="G1519" i="29"/>
  <c r="K1519" i="29"/>
  <c r="O1519" i="29"/>
  <c r="C1520" i="29"/>
  <c r="G1520" i="29"/>
  <c r="K1520" i="29"/>
  <c r="O1520" i="29"/>
  <c r="C1521" i="29"/>
  <c r="G1521" i="29"/>
  <c r="K1521" i="29"/>
  <c r="O1521" i="29"/>
  <c r="C1522" i="29"/>
  <c r="G1522" i="29"/>
  <c r="K1522" i="29"/>
  <c r="O1522" i="29"/>
  <c r="C1523" i="29"/>
  <c r="G1523" i="29"/>
  <c r="K1523" i="29"/>
  <c r="O1523" i="29"/>
  <c r="C1524" i="29"/>
  <c r="G1524" i="29"/>
  <c r="K1524" i="29"/>
  <c r="O1524" i="29"/>
  <c r="C1525" i="29"/>
  <c r="G1525" i="29"/>
  <c r="K1525" i="29"/>
  <c r="O1525" i="29"/>
  <c r="C1526" i="29"/>
  <c r="G1526" i="29"/>
  <c r="K1526" i="29"/>
  <c r="O1526" i="29"/>
  <c r="C1527" i="29"/>
  <c r="G1527" i="29"/>
  <c r="K1527" i="29"/>
  <c r="O1527" i="29"/>
  <c r="C1528" i="29"/>
  <c r="G1528" i="29"/>
  <c r="K1528" i="29"/>
  <c r="O1528" i="29"/>
  <c r="C1529" i="29"/>
  <c r="G1529" i="29"/>
  <c r="K1529" i="29"/>
  <c r="O1529" i="29"/>
  <c r="C1530" i="29"/>
  <c r="G1530" i="29"/>
  <c r="K1530" i="29"/>
  <c r="O1530" i="29"/>
  <c r="C1531" i="29"/>
  <c r="G1531" i="29"/>
  <c r="K1531" i="29"/>
  <c r="O1531" i="29"/>
  <c r="C1532" i="29"/>
  <c r="G1532" i="29"/>
  <c r="K1532" i="29"/>
  <c r="O1532" i="29"/>
  <c r="C1533" i="29"/>
  <c r="G1533" i="29"/>
  <c r="K1533" i="29"/>
  <c r="O1533" i="29"/>
  <c r="C1534" i="29"/>
  <c r="G1534" i="29"/>
  <c r="K1534" i="29"/>
  <c r="O1534" i="29"/>
  <c r="C1535" i="29"/>
  <c r="G1535" i="29"/>
  <c r="K1535" i="29"/>
  <c r="O1535" i="29"/>
  <c r="C1536" i="29"/>
  <c r="G1536" i="29"/>
  <c r="K1536" i="29"/>
  <c r="O1536" i="29"/>
  <c r="C1537" i="29"/>
  <c r="G1537" i="29"/>
  <c r="K1537" i="29"/>
  <c r="O1537" i="29"/>
  <c r="C1538" i="29"/>
  <c r="G1538" i="29"/>
  <c r="K1538" i="29"/>
  <c r="O1538" i="29"/>
  <c r="C1539" i="29"/>
  <c r="G1539" i="29"/>
  <c r="K1539" i="29"/>
  <c r="O1539" i="29"/>
  <c r="C1540" i="29"/>
  <c r="G1540" i="29"/>
  <c r="K1540" i="29"/>
  <c r="O1540" i="29"/>
  <c r="C1541" i="29"/>
  <c r="G1541" i="29"/>
  <c r="K1541" i="29"/>
  <c r="O1541" i="29"/>
  <c r="C1542" i="29"/>
  <c r="G1542" i="29"/>
  <c r="K1542" i="29"/>
  <c r="O1542" i="29"/>
  <c r="C1543" i="29"/>
  <c r="G1543" i="29"/>
  <c r="K1543" i="29"/>
  <c r="O1543" i="29"/>
  <c r="C1544" i="29"/>
  <c r="G1544" i="29"/>
  <c r="K1544" i="29"/>
  <c r="O1544" i="29"/>
  <c r="C1545" i="29"/>
  <c r="G1545" i="29"/>
  <c r="K1545" i="29"/>
  <c r="O1545" i="29"/>
  <c r="C1546" i="29"/>
  <c r="G1546" i="29"/>
  <c r="K1546" i="29"/>
  <c r="O1546" i="29"/>
  <c r="C1547" i="29"/>
  <c r="G1547" i="29"/>
  <c r="K1547" i="29"/>
  <c r="O1547" i="29"/>
  <c r="C1548" i="29"/>
  <c r="G1548" i="29"/>
  <c r="K1548" i="29"/>
  <c r="O1548" i="29"/>
  <c r="C1549" i="29"/>
  <c r="G1549" i="29"/>
  <c r="K1549" i="29"/>
  <c r="O1549" i="29"/>
  <c r="C1550" i="29"/>
  <c r="G1550" i="29"/>
  <c r="K1550" i="29"/>
  <c r="O1550" i="29"/>
  <c r="C1551" i="29"/>
  <c r="G1551" i="29"/>
  <c r="K1551" i="29"/>
  <c r="O1551" i="29"/>
  <c r="C1552" i="29"/>
  <c r="G1552" i="29"/>
  <c r="K1552" i="29"/>
  <c r="O1552" i="29"/>
  <c r="C1553" i="29"/>
  <c r="G1553" i="29"/>
  <c r="K1553" i="29"/>
  <c r="O1553" i="29"/>
  <c r="C1554" i="29"/>
  <c r="G1554" i="29"/>
  <c r="K1554" i="29"/>
  <c r="O1554" i="29"/>
  <c r="C1555" i="29"/>
  <c r="G1555" i="29"/>
  <c r="K1555" i="29"/>
  <c r="O1555" i="29"/>
  <c r="C1556" i="29"/>
  <c r="G1556" i="29"/>
  <c r="K1556" i="29"/>
  <c r="O1556" i="29"/>
  <c r="C1557" i="29"/>
  <c r="G1557" i="29"/>
  <c r="K1557" i="29"/>
  <c r="O1557" i="29"/>
  <c r="C1558" i="29"/>
  <c r="G1558" i="29"/>
  <c r="K1558" i="29"/>
  <c r="O1558" i="29"/>
  <c r="C1559" i="29"/>
  <c r="G1559" i="29"/>
  <c r="K1559" i="29"/>
  <c r="O1559" i="29"/>
  <c r="C1560" i="29"/>
  <c r="G1560" i="29"/>
  <c r="K1560" i="29"/>
  <c r="O1560" i="29"/>
  <c r="C1561" i="29"/>
  <c r="G1561" i="29"/>
  <c r="K1561" i="29"/>
  <c r="O1561" i="29"/>
  <c r="C1562" i="29"/>
  <c r="G1562" i="29"/>
  <c r="K1562" i="29"/>
  <c r="O1562" i="29"/>
  <c r="C1563" i="29"/>
  <c r="G1563" i="29"/>
  <c r="K1563" i="29"/>
  <c r="O1563" i="29"/>
  <c r="C1564" i="29"/>
  <c r="G1564" i="29"/>
  <c r="K1564" i="29"/>
  <c r="O1564" i="29"/>
  <c r="C1565" i="29"/>
  <c r="G1565" i="29"/>
  <c r="K1565" i="29"/>
  <c r="O1565" i="29"/>
  <c r="C1566" i="29"/>
  <c r="G1566" i="29"/>
  <c r="K1566" i="29"/>
  <c r="O1566" i="29"/>
  <c r="C1567" i="29"/>
  <c r="G1567" i="29"/>
  <c r="K1567" i="29"/>
  <c r="O1567" i="29"/>
  <c r="C1568" i="29"/>
  <c r="G1568" i="29"/>
  <c r="K1568" i="29"/>
  <c r="O1568" i="29"/>
  <c r="C1569" i="29"/>
  <c r="G1569" i="29"/>
  <c r="K1569" i="29"/>
  <c r="O1569" i="29"/>
  <c r="C1570" i="29"/>
  <c r="G1570" i="29"/>
  <c r="K1570" i="29"/>
  <c r="O1570" i="29"/>
  <c r="C1571" i="29"/>
  <c r="G1571" i="29"/>
  <c r="K1571" i="29"/>
  <c r="O1571" i="29"/>
  <c r="C1572" i="29"/>
  <c r="G1572" i="29"/>
  <c r="K1572" i="29"/>
  <c r="O1572" i="29"/>
  <c r="C1573" i="29"/>
  <c r="G1573" i="29"/>
  <c r="K1573" i="29"/>
  <c r="O1573" i="29"/>
  <c r="C1574" i="29"/>
  <c r="G1574" i="29"/>
  <c r="K1574" i="29"/>
  <c r="O1574" i="29"/>
  <c r="C1575" i="29"/>
  <c r="G1575" i="29"/>
  <c r="K1575" i="29"/>
  <c r="O1575" i="29"/>
  <c r="C1576" i="29"/>
  <c r="G1576" i="29"/>
  <c r="K1576" i="29"/>
  <c r="O1576" i="29"/>
  <c r="C1577" i="29"/>
  <c r="G1577" i="29"/>
  <c r="K1577" i="29"/>
  <c r="O1577" i="29"/>
  <c r="C1578" i="29"/>
  <c r="G1578" i="29"/>
  <c r="K1578" i="29"/>
  <c r="O1578" i="29"/>
  <c r="C1579" i="29"/>
  <c r="G1579" i="29"/>
  <c r="K1579" i="29"/>
  <c r="O1579" i="29"/>
  <c r="C1580" i="29"/>
  <c r="G1580" i="29"/>
  <c r="K1580" i="29"/>
  <c r="O1580" i="29"/>
  <c r="C1581" i="29"/>
  <c r="G1581" i="29"/>
  <c r="K1581" i="29"/>
  <c r="O1581" i="29"/>
  <c r="C1582" i="29"/>
  <c r="G1582" i="29"/>
  <c r="K1582" i="29"/>
  <c r="O1582" i="29"/>
  <c r="C1583" i="29"/>
  <c r="G1583" i="29"/>
  <c r="K1583" i="29"/>
  <c r="O1583" i="29"/>
  <c r="C1584" i="29"/>
  <c r="G1584" i="29"/>
  <c r="K1584" i="29"/>
  <c r="O1584" i="29"/>
  <c r="C1585" i="29"/>
  <c r="G1585" i="29"/>
  <c r="K1585" i="29"/>
  <c r="O1585" i="29"/>
  <c r="C1586" i="29"/>
  <c r="G1586" i="29"/>
  <c r="K1586" i="29"/>
  <c r="O1586" i="29"/>
  <c r="C1587" i="29"/>
  <c r="G1587" i="29"/>
  <c r="K1587" i="29"/>
  <c r="O1587" i="29"/>
  <c r="C1588" i="29"/>
  <c r="G1588" i="29"/>
  <c r="K1588" i="29"/>
  <c r="O1588" i="29"/>
  <c r="C1589" i="29"/>
  <c r="G1589" i="29"/>
  <c r="K1589" i="29"/>
  <c r="O1589" i="29"/>
  <c r="C1590" i="29"/>
  <c r="G1590" i="29"/>
  <c r="K1590" i="29"/>
  <c r="O1590" i="29"/>
  <c r="C1591" i="29"/>
  <c r="G1591" i="29"/>
  <c r="K1591" i="29"/>
  <c r="O1591" i="29"/>
  <c r="C1592" i="29"/>
  <c r="G1592" i="29"/>
  <c r="K1592" i="29"/>
  <c r="O1592" i="29"/>
  <c r="C1593" i="29"/>
  <c r="G1593" i="29"/>
  <c r="K1593" i="29"/>
  <c r="O1593" i="29"/>
  <c r="C1594" i="29"/>
  <c r="G1594" i="29"/>
  <c r="K1594" i="29"/>
  <c r="O1594" i="29"/>
  <c r="C1595" i="29"/>
  <c r="G1595" i="29"/>
  <c r="K1595" i="29"/>
  <c r="O1595" i="29"/>
  <c r="C1596" i="29"/>
  <c r="G1596" i="29"/>
  <c r="K1596" i="29"/>
  <c r="O1596" i="29"/>
  <c r="C1597" i="29"/>
  <c r="G1597" i="29"/>
  <c r="K1597" i="29"/>
  <c r="O1597" i="29"/>
  <c r="C1598" i="29"/>
  <c r="G1598" i="29"/>
  <c r="K1598" i="29"/>
  <c r="O1598" i="29"/>
  <c r="C1599" i="29"/>
  <c r="G1599" i="29"/>
  <c r="K1599" i="29"/>
  <c r="O1599" i="29"/>
  <c r="C1600" i="29"/>
  <c r="G1600" i="29"/>
  <c r="K1600" i="29"/>
  <c r="O1600" i="29"/>
  <c r="C1601" i="29"/>
  <c r="G1601" i="29"/>
  <c r="K1601" i="29"/>
  <c r="O1601" i="29"/>
  <c r="C1602" i="29"/>
  <c r="G1602" i="29"/>
  <c r="K1602" i="29"/>
  <c r="O1602" i="29"/>
  <c r="C1603" i="29"/>
  <c r="G1603" i="29"/>
  <c r="K1603" i="29"/>
  <c r="O1603" i="29"/>
  <c r="C1604" i="29"/>
  <c r="G1604" i="29"/>
  <c r="K1604" i="29"/>
  <c r="O1604" i="29"/>
  <c r="C1605" i="29"/>
  <c r="G1605" i="29"/>
  <c r="K1605" i="29"/>
  <c r="O1605" i="29"/>
  <c r="C1606" i="29"/>
  <c r="G1606" i="29"/>
  <c r="K1606" i="29"/>
  <c r="O1606" i="29"/>
  <c r="C1607" i="29"/>
  <c r="G1607" i="29"/>
  <c r="K1607" i="29"/>
  <c r="O1607" i="29"/>
  <c r="C1608" i="29"/>
  <c r="G1608" i="29"/>
  <c r="K1608" i="29"/>
  <c r="O1608" i="29"/>
  <c r="C1609" i="29"/>
  <c r="G1609" i="29"/>
  <c r="K1609" i="29"/>
  <c r="O1609" i="29"/>
  <c r="C1610" i="29"/>
  <c r="G1610" i="29"/>
  <c r="K1610" i="29"/>
  <c r="O1610" i="29"/>
  <c r="C1611" i="29"/>
  <c r="G1611" i="29"/>
  <c r="K1611" i="29"/>
  <c r="O1611" i="29"/>
  <c r="C1612" i="29"/>
  <c r="G1612" i="29"/>
  <c r="K1612" i="29"/>
  <c r="O1612" i="29"/>
  <c r="C1613" i="29"/>
  <c r="G1613" i="29"/>
  <c r="K1613" i="29"/>
  <c r="O1613" i="29"/>
  <c r="C1614" i="29"/>
  <c r="G1614" i="29"/>
  <c r="K1614" i="29"/>
  <c r="O1614" i="29"/>
  <c r="C1615" i="29"/>
  <c r="G1615" i="29"/>
  <c r="K1615" i="29"/>
  <c r="O1615" i="29"/>
  <c r="C1616" i="29"/>
  <c r="G1616" i="29"/>
  <c r="K1616" i="29"/>
  <c r="O1616" i="29"/>
  <c r="C1617" i="29"/>
  <c r="G1617" i="29"/>
  <c r="K1617" i="29"/>
  <c r="O1617" i="29"/>
  <c r="C1618" i="29"/>
  <c r="G1618" i="29"/>
  <c r="K1618" i="29"/>
  <c r="O1618" i="29"/>
  <c r="C1619" i="29"/>
  <c r="G1619" i="29"/>
  <c r="K1619" i="29"/>
  <c r="O1619" i="29"/>
  <c r="C1620" i="29"/>
  <c r="G1620" i="29"/>
  <c r="K1620" i="29"/>
  <c r="O1620" i="29"/>
  <c r="C1621" i="29"/>
  <c r="G1621" i="29"/>
  <c r="K1621" i="29"/>
  <c r="O1621" i="29"/>
  <c r="B1622" i="29"/>
  <c r="C1622" i="29"/>
  <c r="F1622" i="29"/>
  <c r="G1622" i="29"/>
  <c r="J1622" i="29"/>
  <c r="K1622" i="29"/>
  <c r="N1622" i="29"/>
  <c r="O1622" i="29"/>
  <c r="B1623" i="29"/>
  <c r="C1623" i="29"/>
  <c r="F1623" i="29"/>
  <c r="G1623" i="29"/>
  <c r="J1623" i="29"/>
  <c r="K1623" i="29"/>
  <c r="N1623" i="29"/>
  <c r="O1623" i="29"/>
  <c r="B1624" i="29"/>
  <c r="C1624" i="29"/>
  <c r="F1624" i="29"/>
  <c r="G1624" i="29"/>
  <c r="J1624" i="29"/>
  <c r="K1624" i="29"/>
  <c r="N1624" i="29"/>
  <c r="O1624" i="29"/>
  <c r="B1625" i="29"/>
  <c r="C1625" i="29"/>
  <c r="F1625" i="29"/>
  <c r="G1625" i="29"/>
  <c r="J1625" i="29"/>
  <c r="K1625" i="29"/>
  <c r="N1625" i="29"/>
  <c r="O1625" i="29"/>
  <c r="B1626" i="29"/>
  <c r="C1626" i="29"/>
  <c r="F1626" i="29"/>
  <c r="G1626" i="29"/>
  <c r="J1626" i="29"/>
  <c r="K1626" i="29"/>
  <c r="N1626" i="29"/>
  <c r="O1626" i="29"/>
  <c r="B1627" i="29"/>
  <c r="C1627" i="29"/>
  <c r="F1627" i="29"/>
  <c r="G1627" i="29"/>
  <c r="J1627" i="29"/>
  <c r="K1627" i="29"/>
  <c r="N1627" i="29"/>
  <c r="O1627" i="29"/>
  <c r="B1628" i="29"/>
  <c r="C1628" i="29"/>
  <c r="F1628" i="29"/>
  <c r="G1628" i="29"/>
  <c r="J1628" i="29"/>
  <c r="K1628" i="29"/>
  <c r="N1628" i="29"/>
  <c r="O1628" i="29"/>
  <c r="B1629" i="29"/>
  <c r="C1629" i="29"/>
  <c r="F1629" i="29"/>
  <c r="G1629" i="29"/>
  <c r="J1629" i="29"/>
  <c r="K1629" i="29"/>
  <c r="N1629" i="29"/>
  <c r="O1629" i="29"/>
  <c r="B1630" i="29"/>
  <c r="C1630" i="29"/>
  <c r="F1630" i="29"/>
  <c r="G1630" i="29"/>
  <c r="J1630" i="29"/>
  <c r="K1630" i="29"/>
  <c r="N1630" i="29"/>
  <c r="O1630" i="29"/>
  <c r="B1631" i="29"/>
  <c r="C1631" i="29"/>
  <c r="F1631" i="29"/>
  <c r="G1631" i="29"/>
  <c r="J1631" i="29"/>
  <c r="K1631" i="29"/>
  <c r="N1631" i="29"/>
  <c r="O1631" i="29"/>
  <c r="B1632" i="29"/>
  <c r="C1632" i="29"/>
  <c r="F1632" i="29"/>
  <c r="G1632" i="29"/>
  <c r="J1632" i="29"/>
  <c r="K1632" i="29"/>
  <c r="N1632" i="29"/>
  <c r="O1632" i="29"/>
  <c r="B1633" i="29"/>
  <c r="C1633" i="29"/>
  <c r="F1633" i="29"/>
  <c r="G1633" i="29"/>
  <c r="J1633" i="29"/>
  <c r="K1633" i="29"/>
  <c r="N1633" i="29"/>
  <c r="O1633" i="29"/>
  <c r="B1634" i="29"/>
  <c r="C1634" i="29"/>
  <c r="F1634" i="29"/>
  <c r="G1634" i="29"/>
  <c r="J1634" i="29"/>
  <c r="K1634" i="29"/>
  <c r="N1634" i="29"/>
  <c r="O1634" i="29"/>
  <c r="B1635" i="29"/>
  <c r="C1635" i="29"/>
  <c r="F1635" i="29"/>
  <c r="G1635" i="29"/>
  <c r="J1635" i="29"/>
  <c r="K1635" i="29"/>
  <c r="N1635" i="29"/>
  <c r="O1635" i="29"/>
  <c r="B1636" i="29"/>
  <c r="C1636" i="29"/>
  <c r="F1636" i="29"/>
  <c r="G1636" i="29"/>
  <c r="J1636" i="29"/>
  <c r="K1636" i="29"/>
  <c r="N1636" i="29"/>
  <c r="O1636" i="29"/>
  <c r="B1637" i="29"/>
  <c r="C1637" i="29"/>
  <c r="F1637" i="29"/>
  <c r="G1637" i="29"/>
  <c r="J1637" i="29"/>
  <c r="K1637" i="29"/>
  <c r="N1637" i="29"/>
  <c r="O1637" i="29"/>
  <c r="B1638" i="29"/>
  <c r="C1638" i="29"/>
  <c r="F1638" i="29"/>
  <c r="G1638" i="29"/>
  <c r="J1638" i="29"/>
  <c r="K1638" i="29"/>
  <c r="N1638" i="29"/>
  <c r="O1638" i="29"/>
  <c r="B1639" i="29"/>
  <c r="C1639" i="29"/>
  <c r="F1639" i="29"/>
  <c r="G1639" i="29"/>
  <c r="J1639" i="29"/>
  <c r="K1639" i="29"/>
  <c r="N1639" i="29"/>
  <c r="O1639" i="29"/>
  <c r="B1640" i="29"/>
  <c r="C1640" i="29"/>
  <c r="F1640" i="29"/>
  <c r="G1640" i="29"/>
  <c r="J1640" i="29"/>
  <c r="K1640" i="29"/>
  <c r="N1640" i="29"/>
  <c r="O1640" i="29"/>
  <c r="B1641" i="29"/>
  <c r="C1641" i="29"/>
  <c r="F1641" i="29"/>
  <c r="G1641" i="29"/>
  <c r="J1641" i="29"/>
  <c r="K1641" i="29"/>
  <c r="N1641" i="29"/>
  <c r="O1641" i="29"/>
  <c r="B1642" i="29"/>
  <c r="C1642" i="29"/>
  <c r="F1642" i="29"/>
  <c r="G1642" i="29"/>
  <c r="J1642" i="29"/>
  <c r="K1642" i="29"/>
  <c r="N1642" i="29"/>
  <c r="O1642" i="29"/>
  <c r="B1643" i="29"/>
  <c r="C1643" i="29"/>
  <c r="F1643" i="29"/>
  <c r="G1643" i="29"/>
  <c r="J1643" i="29"/>
  <c r="K1643" i="29"/>
  <c r="N1643" i="29"/>
  <c r="O1643" i="29"/>
  <c r="B1644" i="29"/>
  <c r="C1644" i="29"/>
  <c r="F1644" i="29"/>
  <c r="G1644" i="29"/>
  <c r="J1644" i="29"/>
  <c r="K1644" i="29"/>
  <c r="N1644" i="29"/>
  <c r="O1644" i="29"/>
  <c r="B1645" i="29"/>
  <c r="C1645" i="29"/>
  <c r="F1645" i="29"/>
  <c r="G1645" i="29"/>
  <c r="J1645" i="29"/>
  <c r="K1645" i="29"/>
  <c r="N1645" i="29"/>
  <c r="O1645" i="29"/>
  <c r="B1646" i="29"/>
  <c r="C1646" i="29"/>
  <c r="F1646" i="29"/>
  <c r="G1646" i="29"/>
  <c r="J1646" i="29"/>
  <c r="K1646" i="29"/>
  <c r="N1646" i="29"/>
  <c r="O1646" i="29"/>
  <c r="B1647" i="29"/>
  <c r="C1647" i="29"/>
  <c r="F1647" i="29"/>
  <c r="G1647" i="29"/>
  <c r="J1647" i="29"/>
  <c r="K1647" i="29"/>
  <c r="N1647" i="29"/>
  <c r="O1647" i="29"/>
  <c r="B1648" i="29"/>
  <c r="C1648" i="29"/>
  <c r="F1648" i="29"/>
  <c r="G1648" i="29"/>
  <c r="J1648" i="29"/>
  <c r="K1648" i="29"/>
  <c r="N1648" i="29"/>
  <c r="O1648" i="29"/>
  <c r="B1649" i="29"/>
  <c r="C1649" i="29"/>
  <c r="F1649" i="29"/>
  <c r="G1649" i="29"/>
  <c r="J1649" i="29"/>
  <c r="K1649" i="29"/>
  <c r="N1649" i="29"/>
  <c r="O1649" i="29"/>
  <c r="B1650" i="29"/>
  <c r="C1650" i="29"/>
  <c r="F1650" i="29"/>
  <c r="G1650" i="29"/>
  <c r="J1650" i="29"/>
  <c r="K1650" i="29"/>
  <c r="N1650" i="29"/>
  <c r="O1650" i="29"/>
  <c r="B1651" i="29"/>
  <c r="C1651" i="29"/>
  <c r="F1651" i="29"/>
  <c r="G1651" i="29"/>
  <c r="J1651" i="29"/>
  <c r="K1651" i="29"/>
  <c r="N1651" i="29"/>
  <c r="O1651" i="29"/>
  <c r="B1652" i="29"/>
  <c r="C1652" i="29"/>
  <c r="F1652" i="29"/>
  <c r="G1652" i="29"/>
  <c r="J1652" i="29"/>
  <c r="K1652" i="29"/>
  <c r="N1652" i="29"/>
  <c r="O1652" i="29"/>
  <c r="C1653" i="29"/>
  <c r="G1653" i="29"/>
  <c r="K1653" i="29"/>
  <c r="O1653" i="29"/>
  <c r="C1654" i="29"/>
  <c r="G1654" i="29"/>
  <c r="K1654" i="29"/>
  <c r="O1654" i="29"/>
  <c r="C1655" i="29"/>
  <c r="G1655" i="29"/>
  <c r="K1655" i="29"/>
  <c r="O1655" i="29"/>
  <c r="C1656" i="29"/>
  <c r="G1656" i="29"/>
  <c r="K1656" i="29"/>
  <c r="O1656" i="29"/>
  <c r="C1657" i="29"/>
  <c r="G1657" i="29"/>
  <c r="K1657" i="29"/>
  <c r="O1657" i="29"/>
  <c r="C1658" i="29"/>
  <c r="G1658" i="29"/>
  <c r="K1658" i="29"/>
  <c r="O1658" i="29"/>
  <c r="C1659" i="29"/>
  <c r="G1659" i="29"/>
  <c r="K1659" i="29"/>
  <c r="O1659" i="29"/>
  <c r="C1660" i="29"/>
  <c r="G1660" i="29"/>
  <c r="K1660" i="29"/>
  <c r="O1660" i="29"/>
  <c r="C1661" i="29"/>
  <c r="G1661" i="29"/>
  <c r="K1661" i="29"/>
  <c r="O1661" i="29"/>
  <c r="C1662" i="29"/>
  <c r="G1662" i="29"/>
  <c r="K1662" i="29"/>
  <c r="O1662" i="29"/>
  <c r="C1663" i="29"/>
  <c r="G1663" i="29"/>
  <c r="K1663" i="29"/>
  <c r="O1663" i="29"/>
  <c r="C1664" i="29"/>
  <c r="G1664" i="29"/>
  <c r="K1664" i="29"/>
  <c r="O1664" i="29"/>
  <c r="C1665" i="29"/>
  <c r="G1665" i="29"/>
  <c r="K1665" i="29"/>
  <c r="O1665" i="29"/>
  <c r="C1666" i="29"/>
  <c r="G1666" i="29"/>
  <c r="K1666" i="29"/>
  <c r="O1666" i="29"/>
  <c r="C1667" i="29"/>
  <c r="G1667" i="29"/>
  <c r="K1667" i="29"/>
  <c r="O1667" i="29"/>
  <c r="C1668" i="29"/>
  <c r="G1668" i="29"/>
  <c r="K1668" i="29"/>
  <c r="O1668" i="29"/>
  <c r="C1669" i="29"/>
  <c r="G1669" i="29"/>
  <c r="K1669" i="29"/>
  <c r="O1669" i="29"/>
  <c r="C1670" i="29"/>
  <c r="G1670" i="29"/>
  <c r="K1670" i="29"/>
  <c r="O1670" i="29"/>
  <c r="C1671" i="29"/>
  <c r="G1671" i="29"/>
  <c r="K1671" i="29"/>
  <c r="O1671" i="29"/>
  <c r="C1672" i="29"/>
  <c r="G1672" i="29"/>
  <c r="K1672" i="29"/>
  <c r="O1672" i="29"/>
  <c r="C1673" i="29"/>
  <c r="G1673" i="29"/>
  <c r="K1673" i="29"/>
  <c r="O1673" i="29"/>
  <c r="C1674" i="29"/>
  <c r="G1674" i="29"/>
  <c r="K1674" i="29"/>
  <c r="O1674" i="29"/>
  <c r="C1675" i="29"/>
  <c r="G1675" i="29"/>
  <c r="K1675" i="29"/>
  <c r="O1675" i="29"/>
  <c r="C1676" i="29"/>
  <c r="G1676" i="29"/>
  <c r="K1676" i="29"/>
  <c r="O1676" i="29"/>
  <c r="C1677" i="29"/>
  <c r="G1677" i="29"/>
  <c r="K1677" i="29"/>
  <c r="O1677" i="29"/>
  <c r="C1678" i="29"/>
  <c r="G1678" i="29"/>
  <c r="K1678" i="29"/>
  <c r="O1678" i="29"/>
  <c r="C1679" i="29"/>
  <c r="G1679" i="29"/>
  <c r="K1679" i="29"/>
  <c r="O1679" i="29"/>
  <c r="C1680" i="29"/>
  <c r="G1680" i="29"/>
  <c r="K1680" i="29"/>
  <c r="O1680" i="29"/>
  <c r="C1681" i="29"/>
  <c r="G1681" i="29"/>
  <c r="K1681" i="29"/>
  <c r="O1681" i="29"/>
  <c r="C1682" i="29"/>
  <c r="G1682" i="29"/>
  <c r="K1682" i="29"/>
  <c r="O1682" i="29"/>
  <c r="C1683" i="29"/>
  <c r="G1683" i="29"/>
  <c r="K1683" i="29"/>
  <c r="O1683" i="29"/>
  <c r="C1684" i="29"/>
  <c r="G1684" i="29"/>
  <c r="K1684" i="29"/>
  <c r="O1684" i="29"/>
  <c r="C1685" i="29"/>
  <c r="G1685" i="29"/>
  <c r="K1685" i="29"/>
  <c r="O1685" i="29"/>
  <c r="C1686" i="29"/>
  <c r="G1686" i="29"/>
  <c r="K1686" i="29"/>
  <c r="O1686" i="29"/>
  <c r="C1687" i="29"/>
  <c r="G1687" i="29"/>
  <c r="K1687" i="29"/>
  <c r="O1687" i="29"/>
  <c r="C1688" i="29"/>
  <c r="G1688" i="29"/>
  <c r="K1688" i="29"/>
  <c r="O1688" i="29"/>
  <c r="C1689" i="29"/>
  <c r="G1689" i="29"/>
  <c r="K1689" i="29"/>
  <c r="O1689" i="29"/>
  <c r="C1690" i="29"/>
  <c r="G1690" i="29"/>
  <c r="K1690" i="29"/>
  <c r="O1690" i="29"/>
  <c r="C1691" i="29"/>
  <c r="G1691" i="29"/>
  <c r="K1691" i="29"/>
  <c r="O1691" i="29"/>
  <c r="C1692" i="29"/>
  <c r="G1692" i="29"/>
  <c r="K1692" i="29"/>
  <c r="O1692" i="29"/>
  <c r="C1693" i="29"/>
  <c r="G1693" i="29"/>
  <c r="K1693" i="29"/>
  <c r="O1693" i="29"/>
  <c r="C1694" i="29"/>
  <c r="G1694" i="29"/>
  <c r="K1694" i="29"/>
  <c r="O1694" i="29"/>
  <c r="C1695" i="29"/>
  <c r="G1695" i="29"/>
  <c r="K1695" i="29"/>
  <c r="O1695" i="29"/>
  <c r="C1696" i="29"/>
  <c r="G1696" i="29"/>
  <c r="K1696" i="29"/>
  <c r="O1696" i="29"/>
  <c r="C1697" i="29"/>
  <c r="G1697" i="29"/>
  <c r="K1697" i="29"/>
  <c r="O1697" i="29"/>
  <c r="C1698" i="29"/>
  <c r="G1698" i="29"/>
  <c r="K1698" i="29"/>
  <c r="O1698" i="29"/>
  <c r="C1699" i="29"/>
  <c r="G1699" i="29"/>
  <c r="K1699" i="29"/>
  <c r="O1699" i="29"/>
  <c r="C1700" i="29"/>
  <c r="G1700" i="29"/>
  <c r="K1700" i="29"/>
  <c r="O1700" i="29"/>
  <c r="C1701" i="29"/>
  <c r="G1701" i="29"/>
  <c r="K1701" i="29"/>
  <c r="O1701" i="29"/>
  <c r="C1702" i="29"/>
  <c r="G1702" i="29"/>
  <c r="K1702" i="29"/>
  <c r="O1702" i="29"/>
  <c r="C1703" i="29"/>
  <c r="G1703" i="29"/>
  <c r="K1703" i="29"/>
  <c r="O1703" i="29"/>
  <c r="C1704" i="29"/>
  <c r="G1704" i="29"/>
  <c r="K1704" i="29"/>
  <c r="O1704" i="29"/>
  <c r="C1705" i="29"/>
  <c r="G1705" i="29"/>
  <c r="K1705" i="29"/>
  <c r="O1705" i="29"/>
  <c r="C1706" i="29"/>
  <c r="G1706" i="29"/>
  <c r="K1706" i="29"/>
  <c r="O1706" i="29"/>
  <c r="C1707" i="29"/>
  <c r="G1707" i="29"/>
  <c r="K1707" i="29"/>
  <c r="O1707" i="29"/>
  <c r="C1708" i="29"/>
  <c r="G1708" i="29"/>
  <c r="K1708" i="29"/>
  <c r="O1708" i="29"/>
  <c r="C1709" i="29"/>
  <c r="G1709" i="29"/>
  <c r="K1709" i="29"/>
  <c r="O1709" i="29"/>
  <c r="C1710" i="29"/>
  <c r="G1710" i="29"/>
  <c r="K1710" i="29"/>
  <c r="O1710" i="29"/>
  <c r="C1711" i="29"/>
  <c r="G1711" i="29"/>
  <c r="K1711" i="29"/>
  <c r="O1711" i="29"/>
  <c r="C1712" i="29"/>
  <c r="G1712" i="29"/>
  <c r="K1712" i="29"/>
  <c r="O1712" i="29"/>
  <c r="C1713" i="29"/>
  <c r="G1713" i="29"/>
  <c r="K1713" i="29"/>
  <c r="O1713" i="29"/>
  <c r="C1714" i="29"/>
  <c r="G1714" i="29"/>
  <c r="K1714" i="29"/>
  <c r="O1714" i="29"/>
  <c r="C1715" i="29"/>
  <c r="G1715" i="29"/>
  <c r="K1715" i="29"/>
  <c r="O1715" i="29"/>
  <c r="C1716" i="29"/>
  <c r="G1716" i="29"/>
  <c r="K1716" i="29"/>
  <c r="O1716" i="29"/>
  <c r="C1717" i="29"/>
  <c r="G1717" i="29"/>
  <c r="K1717" i="29"/>
  <c r="O1717" i="29"/>
  <c r="C1718" i="29"/>
  <c r="G1718" i="29"/>
  <c r="K1718" i="29"/>
  <c r="O1718" i="29"/>
  <c r="C1719" i="29"/>
  <c r="G1719" i="29"/>
  <c r="K1719" i="29"/>
  <c r="O1719" i="29"/>
  <c r="C1720" i="29"/>
  <c r="G1720" i="29"/>
  <c r="K1720" i="29"/>
  <c r="O1720" i="29"/>
  <c r="C1721" i="29"/>
  <c r="G1721" i="29"/>
  <c r="K1721" i="29"/>
  <c r="O1721" i="29"/>
  <c r="C1722" i="29"/>
  <c r="G1722" i="29"/>
  <c r="K1722" i="29"/>
  <c r="O1722" i="29"/>
  <c r="C1723" i="29"/>
  <c r="G1723" i="29"/>
  <c r="K1723" i="29"/>
  <c r="O1723" i="29"/>
  <c r="C1724" i="29"/>
  <c r="G1724" i="29"/>
  <c r="K1724" i="29"/>
  <c r="O1724" i="29"/>
  <c r="C1725" i="29"/>
  <c r="G1725" i="29"/>
  <c r="K1725" i="29"/>
  <c r="O1725" i="29"/>
  <c r="C1726" i="29"/>
  <c r="G1726" i="29"/>
  <c r="K1726" i="29"/>
  <c r="O1726" i="29"/>
  <c r="C1727" i="29"/>
  <c r="G1727" i="29"/>
  <c r="K1727" i="29"/>
  <c r="O1727" i="29"/>
  <c r="C1728" i="29"/>
  <c r="G1728" i="29"/>
  <c r="K1728" i="29"/>
  <c r="O1728" i="29"/>
  <c r="C1729" i="29"/>
  <c r="G1729" i="29"/>
  <c r="K1729" i="29"/>
  <c r="O1729" i="29"/>
  <c r="C1730" i="29"/>
  <c r="G1730" i="29"/>
  <c r="K1730" i="29"/>
  <c r="O1730" i="29"/>
  <c r="C1731" i="29"/>
  <c r="G1731" i="29"/>
  <c r="K1731" i="29"/>
  <c r="O1731" i="29"/>
  <c r="C1732" i="29"/>
  <c r="G1732" i="29"/>
  <c r="K1732" i="29"/>
  <c r="O1732" i="29"/>
  <c r="C1733" i="29"/>
  <c r="G1733" i="29"/>
  <c r="K1733" i="29"/>
  <c r="O1733" i="29"/>
  <c r="C1734" i="29"/>
  <c r="G1734" i="29"/>
  <c r="K1734" i="29"/>
  <c r="O1734" i="29"/>
  <c r="C1735" i="29"/>
  <c r="G1735" i="29"/>
  <c r="K1735" i="29"/>
  <c r="O1735" i="29"/>
  <c r="C1736" i="29"/>
  <c r="G1736" i="29"/>
  <c r="K1736" i="29"/>
  <c r="O1736" i="29"/>
  <c r="C1737" i="29"/>
  <c r="G1737" i="29"/>
  <c r="K1737" i="29"/>
  <c r="O1737" i="29"/>
  <c r="C1738" i="29"/>
  <c r="G1738" i="29"/>
  <c r="K1738" i="29"/>
  <c r="O1738" i="29"/>
  <c r="C1739" i="29"/>
  <c r="G1739" i="29"/>
  <c r="K1739" i="29"/>
  <c r="O1739" i="29"/>
  <c r="C1740" i="29"/>
  <c r="G1740" i="29"/>
  <c r="K1740" i="29"/>
  <c r="O1740" i="29"/>
  <c r="C1741" i="29"/>
  <c r="G1741" i="29"/>
  <c r="K1741" i="29"/>
  <c r="O1741" i="29"/>
  <c r="C1742" i="29"/>
  <c r="G1742" i="29"/>
  <c r="K1742" i="29"/>
  <c r="O1742" i="29"/>
  <c r="C1743" i="29"/>
  <c r="G1743" i="29"/>
  <c r="K1743" i="29"/>
  <c r="O1743" i="29"/>
  <c r="C1744" i="29"/>
  <c r="G1744" i="29"/>
  <c r="K1744" i="29"/>
  <c r="O1744" i="29"/>
  <c r="C1745" i="29"/>
  <c r="G1745" i="29"/>
  <c r="K1745" i="29"/>
  <c r="O1745" i="29"/>
  <c r="C1746" i="29"/>
  <c r="G1746" i="29"/>
  <c r="K1746" i="29"/>
  <c r="O1746" i="29"/>
  <c r="C1747" i="29"/>
  <c r="G1747" i="29"/>
  <c r="K1747" i="29"/>
  <c r="O1747" i="29"/>
  <c r="C1748" i="29"/>
  <c r="G1748" i="29"/>
  <c r="K1748" i="29"/>
  <c r="O1748" i="29"/>
  <c r="C1749" i="29"/>
  <c r="G1749" i="29"/>
  <c r="K1749" i="29"/>
  <c r="O1749" i="29"/>
  <c r="C1750" i="29"/>
  <c r="G1750" i="29"/>
  <c r="K1750" i="29"/>
  <c r="O1750" i="29"/>
  <c r="C1751" i="29"/>
  <c r="G1751" i="29"/>
  <c r="K1751" i="29"/>
  <c r="O1751" i="29"/>
  <c r="C1752" i="29"/>
  <c r="G1752" i="29"/>
  <c r="K1752" i="29"/>
  <c r="O1752" i="29"/>
  <c r="C1753" i="29"/>
  <c r="G1753" i="29"/>
  <c r="K1753" i="29"/>
  <c r="O1753" i="29"/>
  <c r="C1754" i="29"/>
  <c r="G1754" i="29"/>
  <c r="K1754" i="29"/>
  <c r="O1754" i="29"/>
  <c r="C1755" i="29"/>
  <c r="G1755" i="29"/>
  <c r="K1755" i="29"/>
  <c r="O1755" i="29"/>
  <c r="C1756" i="29"/>
  <c r="G1756" i="29"/>
  <c r="K1756" i="29"/>
  <c r="O1756" i="29"/>
  <c r="C1757" i="29"/>
  <c r="G1757" i="29"/>
  <c r="K1757" i="29"/>
  <c r="O1757" i="29"/>
  <c r="C1758" i="29"/>
  <c r="G1758" i="29"/>
  <c r="K1758" i="29"/>
  <c r="O1758" i="29"/>
  <c r="C1759" i="29"/>
  <c r="G1759" i="29"/>
  <c r="K1759" i="29"/>
  <c r="O1759" i="29"/>
  <c r="C1760" i="29"/>
  <c r="G1760" i="29"/>
  <c r="K1760" i="29"/>
  <c r="O1760" i="29"/>
  <c r="C1761" i="29"/>
  <c r="G1761" i="29"/>
  <c r="K1761" i="29"/>
  <c r="O1761" i="29"/>
  <c r="C1762" i="29"/>
  <c r="G1762" i="29"/>
  <c r="K1762" i="29"/>
  <c r="O1762" i="29"/>
  <c r="C1763" i="29"/>
  <c r="G1763" i="29"/>
  <c r="K1763" i="29"/>
  <c r="O1763" i="29"/>
  <c r="C1764" i="29"/>
  <c r="G1764" i="29"/>
  <c r="K1764" i="29"/>
  <c r="O1764" i="29"/>
  <c r="C1765" i="29"/>
  <c r="G1765" i="29"/>
  <c r="K1765" i="29"/>
  <c r="O1765" i="29"/>
  <c r="C1766" i="29"/>
  <c r="G1766" i="29"/>
  <c r="K1766" i="29"/>
  <c r="O1766" i="29"/>
  <c r="C1767" i="29"/>
  <c r="G1767" i="29"/>
  <c r="K1767" i="29"/>
  <c r="O1767" i="29"/>
  <c r="C1768" i="29"/>
  <c r="G1768" i="29"/>
  <c r="K1768" i="29"/>
  <c r="O1768" i="29"/>
  <c r="C1769" i="29"/>
  <c r="G1769" i="29"/>
  <c r="K1769" i="29"/>
  <c r="O1769" i="29"/>
  <c r="C1770" i="29"/>
  <c r="G1770" i="29"/>
  <c r="K1770" i="29"/>
  <c r="O1770" i="29"/>
  <c r="C1771" i="29"/>
  <c r="G1771" i="29"/>
  <c r="K1771" i="29"/>
  <c r="O1771" i="29"/>
  <c r="C1772" i="29"/>
  <c r="G1772" i="29"/>
  <c r="K1772" i="29"/>
  <c r="O1772" i="29"/>
  <c r="C1773" i="29"/>
  <c r="G1773" i="29"/>
  <c r="K1773" i="29"/>
  <c r="O1773" i="29"/>
  <c r="C1774" i="29"/>
  <c r="G1774" i="29"/>
  <c r="K1774" i="29"/>
  <c r="O1774" i="29"/>
  <c r="C1775" i="29"/>
  <c r="G1775" i="29"/>
  <c r="K1775" i="29"/>
  <c r="O1775" i="29"/>
  <c r="C1776" i="29"/>
  <c r="G1776" i="29"/>
  <c r="K1776" i="29"/>
  <c r="O1776" i="29"/>
  <c r="C1777" i="29"/>
  <c r="G1777" i="29"/>
  <c r="K1777" i="29"/>
  <c r="O1777" i="29"/>
  <c r="C1778" i="29"/>
  <c r="G1778" i="29"/>
  <c r="K1778" i="29"/>
  <c r="O1778" i="29"/>
  <c r="C1779" i="29"/>
  <c r="G1779" i="29"/>
  <c r="K1779" i="29"/>
  <c r="O1779" i="29"/>
  <c r="C1780" i="29"/>
  <c r="G1780" i="29"/>
  <c r="K1780" i="29"/>
  <c r="O1780" i="29"/>
  <c r="C1781" i="29"/>
  <c r="G1781" i="29"/>
  <c r="K1781" i="29"/>
  <c r="O1781" i="29"/>
  <c r="C1782" i="29"/>
  <c r="G1782" i="29"/>
  <c r="K1782" i="29"/>
  <c r="O1782" i="29"/>
  <c r="C1783" i="29"/>
  <c r="G1783" i="29"/>
  <c r="K1783" i="29"/>
  <c r="O1783" i="29"/>
  <c r="C1784" i="29"/>
  <c r="G1784" i="29"/>
  <c r="K1784" i="29"/>
  <c r="O1784" i="29"/>
  <c r="C1785" i="29"/>
  <c r="G1785" i="29"/>
  <c r="K1785" i="29"/>
  <c r="O1785" i="29"/>
  <c r="C1786" i="29"/>
  <c r="G1786" i="29"/>
  <c r="K1786" i="29"/>
  <c r="O1786" i="29"/>
  <c r="C1787" i="29"/>
  <c r="G1787" i="29"/>
  <c r="K1787" i="29"/>
  <c r="O1787" i="29"/>
  <c r="C1788" i="29"/>
  <c r="G1788" i="29"/>
  <c r="K1788" i="29"/>
  <c r="O1788" i="29"/>
  <c r="C1789" i="29"/>
  <c r="G1789" i="29"/>
  <c r="K1789" i="29"/>
  <c r="O1789" i="29"/>
  <c r="C1790" i="29"/>
  <c r="G1790" i="29"/>
  <c r="K1790" i="29"/>
  <c r="O1790" i="29"/>
  <c r="C1791" i="29"/>
  <c r="G1791" i="29"/>
  <c r="K1791" i="29"/>
  <c r="O1791" i="29"/>
  <c r="C1792" i="29"/>
  <c r="G1792" i="29"/>
  <c r="K1792" i="29"/>
  <c r="O1792" i="29"/>
  <c r="C1793" i="29"/>
  <c r="G1793" i="29"/>
  <c r="K1793" i="29"/>
  <c r="O1793" i="29"/>
  <c r="C1794" i="29"/>
  <c r="G1794" i="29"/>
  <c r="K1794" i="29"/>
  <c r="O1794" i="29"/>
  <c r="C1795" i="29"/>
  <c r="G1795" i="29"/>
  <c r="K1795" i="29"/>
  <c r="O1795" i="29"/>
  <c r="C1796" i="29"/>
  <c r="G1796" i="29"/>
  <c r="K1796" i="29"/>
  <c r="O1796" i="29"/>
  <c r="C1797" i="29"/>
  <c r="G1797" i="29"/>
  <c r="K1797" i="29"/>
  <c r="O1797" i="29"/>
  <c r="C1798" i="29"/>
  <c r="G1798" i="29"/>
  <c r="K1798" i="29"/>
  <c r="O1798" i="29"/>
  <c r="C1799" i="29"/>
  <c r="G1799" i="29"/>
  <c r="K1799" i="29"/>
  <c r="O1799" i="29"/>
  <c r="C1800" i="29"/>
  <c r="G1800" i="29"/>
  <c r="K1800" i="29"/>
  <c r="O1800" i="29"/>
  <c r="C1801" i="29"/>
  <c r="G1801" i="29"/>
  <c r="K1801" i="29"/>
  <c r="O1801" i="29"/>
  <c r="B1802" i="29"/>
  <c r="C1802" i="29"/>
  <c r="F1802" i="29"/>
  <c r="G1802" i="29"/>
  <c r="J1802" i="29"/>
  <c r="K1802" i="29"/>
  <c r="N1802" i="29"/>
  <c r="O1802" i="29"/>
  <c r="B20" i="21"/>
  <c r="C20" i="21"/>
  <c r="B21" i="21"/>
  <c r="C21" i="21"/>
  <c r="B22" i="21"/>
  <c r="C22" i="21"/>
  <c r="E22" i="21"/>
  <c r="F22" i="21"/>
  <c r="G22" i="21"/>
  <c r="B23" i="21"/>
  <c r="C23" i="21"/>
  <c r="B24" i="21"/>
  <c r="C24" i="21"/>
  <c r="B26" i="21"/>
  <c r="C26" i="21"/>
  <c r="E27" i="21"/>
  <c r="B28" i="21"/>
  <c r="C28" i="21"/>
  <c r="E28" i="21"/>
  <c r="B29" i="21"/>
  <c r="C29" i="21"/>
  <c r="E29" i="21"/>
  <c r="B30" i="21"/>
  <c r="C30" i="21"/>
  <c r="B31" i="21"/>
  <c r="C31" i="21"/>
  <c r="B32" i="21"/>
  <c r="C32" i="21"/>
  <c r="B34" i="21"/>
  <c r="C34" i="21"/>
  <c r="B38" i="21"/>
  <c r="C38" i="21"/>
  <c r="D38" i="21"/>
  <c r="E38" i="21"/>
  <c r="B39" i="21"/>
  <c r="C39" i="21"/>
  <c r="D39" i="21"/>
  <c r="E39" i="21"/>
  <c r="B40" i="21"/>
  <c r="C40" i="21"/>
  <c r="D40" i="21"/>
  <c r="E40" i="21"/>
  <c r="B41" i="21"/>
  <c r="C41" i="21"/>
  <c r="D41" i="21"/>
  <c r="E41" i="21"/>
  <c r="B42" i="21"/>
  <c r="C42" i="21"/>
  <c r="B43" i="21"/>
  <c r="E43" i="21"/>
  <c r="B44" i="21"/>
  <c r="B45" i="21"/>
  <c r="B48" i="21"/>
  <c r="B49" i="21"/>
  <c r="B50" i="21"/>
  <c r="B51" i="21"/>
  <c r="B52" i="21"/>
  <c r="B60" i="21"/>
  <c r="B70" i="21"/>
  <c r="B85" i="21"/>
  <c r="B86" i="21"/>
  <c r="B87" i="21"/>
  <c r="B88" i="21"/>
  <c r="Q27" i="1"/>
  <c r="G28" i="1"/>
  <c r="G30" i="1"/>
  <c r="G32" i="1"/>
  <c r="G36" i="1"/>
  <c r="C41" i="1"/>
  <c r="I41" i="1"/>
  <c r="J41" i="1"/>
  <c r="C42" i="1"/>
  <c r="J42" i="1"/>
  <c r="C43" i="1"/>
  <c r="I43" i="1"/>
  <c r="J43" i="1"/>
  <c r="K43" i="1"/>
  <c r="L43" i="1"/>
  <c r="I44" i="1"/>
  <c r="J44" i="1"/>
  <c r="K44" i="1"/>
  <c r="L44" i="1"/>
  <c r="P44" i="1"/>
  <c r="I45" i="1"/>
  <c r="J45" i="1"/>
  <c r="K45" i="1"/>
  <c r="L45" i="1"/>
  <c r="P45" i="1"/>
  <c r="C46" i="1"/>
  <c r="I46" i="1"/>
  <c r="J46" i="1"/>
  <c r="C47" i="1"/>
  <c r="J47" i="1"/>
  <c r="C48" i="1"/>
  <c r="I49" i="1"/>
  <c r="J49" i="1"/>
  <c r="K49" i="1"/>
  <c r="L49" i="1"/>
  <c r="P54" i="1"/>
  <c r="Q54" i="1"/>
  <c r="P55" i="1"/>
  <c r="Q55" i="1"/>
  <c r="P56" i="1"/>
  <c r="Q56" i="1"/>
  <c r="P63" i="1"/>
  <c r="Q63" i="1"/>
  <c r="P64" i="1"/>
  <c r="Q64" i="1"/>
  <c r="P65" i="1"/>
  <c r="Q65" i="1"/>
  <c r="P66" i="1"/>
  <c r="Q66" i="1"/>
  <c r="P67" i="1"/>
  <c r="Q67" i="1"/>
  <c r="P68" i="1"/>
  <c r="Q68" i="1"/>
  <c r="B49" i="5"/>
  <c r="H50" i="5"/>
  <c r="I50" i="5"/>
  <c r="H51" i="5"/>
  <c r="I51" i="5"/>
  <c r="B58" i="5"/>
  <c r="H59" i="5"/>
  <c r="I59" i="5"/>
  <c r="H60" i="5"/>
  <c r="I60" i="5"/>
  <c r="AD11" i="31"/>
  <c r="AE11" i="31"/>
  <c r="AG11" i="31"/>
  <c r="AH11" i="31"/>
  <c r="AD13" i="31"/>
  <c r="AE13" i="31"/>
  <c r="AG13" i="31"/>
  <c r="AH13" i="31"/>
  <c r="AD18" i="31"/>
  <c r="AE18" i="31"/>
  <c r="AG18" i="31"/>
  <c r="AH18" i="31"/>
  <c r="AD20" i="31"/>
  <c r="AE20" i="31"/>
  <c r="AG20" i="31"/>
  <c r="AH20" i="31"/>
  <c r="AD33" i="31"/>
  <c r="AE33" i="31"/>
  <c r="AG33" i="31"/>
  <c r="AH33" i="31"/>
  <c r="AD39" i="31"/>
  <c r="AE39" i="31"/>
  <c r="AG39" i="31"/>
  <c r="AH39" i="31"/>
  <c r="AD43" i="31"/>
  <c r="AE43" i="31"/>
  <c r="AG43" i="31"/>
  <c r="AH43" i="31"/>
  <c r="AD47" i="31"/>
  <c r="AE47" i="31"/>
  <c r="AG47" i="31"/>
  <c r="AH47" i="31"/>
  <c r="AD48" i="31"/>
  <c r="AE48" i="31"/>
  <c r="AG48" i="31"/>
  <c r="AH48" i="31"/>
  <c r="AD54" i="31"/>
  <c r="AE54" i="31"/>
  <c r="AG54" i="31"/>
  <c r="AH54" i="31"/>
  <c r="AD59" i="31"/>
  <c r="AE59" i="31"/>
  <c r="AG59" i="31"/>
  <c r="AH59" i="31"/>
  <c r="AE64" i="31"/>
  <c r="AH64" i="31"/>
  <c r="AD79" i="31"/>
  <c r="AE79" i="31"/>
  <c r="AG79" i="31"/>
  <c r="AH79" i="31"/>
  <c r="AD81" i="31"/>
  <c r="AG81" i="31"/>
  <c r="AD85" i="31"/>
  <c r="AE85" i="31"/>
  <c r="AG85" i="31"/>
  <c r="AH85" i="31"/>
  <c r="AD88" i="31"/>
  <c r="AE88" i="31"/>
  <c r="AG88" i="31"/>
  <c r="AH88" i="31"/>
  <c r="AD120" i="31"/>
  <c r="AE120" i="31"/>
  <c r="AG120" i="31"/>
  <c r="AH120" i="31"/>
  <c r="AD121" i="31"/>
  <c r="AE121" i="31"/>
  <c r="AG121" i="31"/>
  <c r="AH121" i="31"/>
  <c r="AD123" i="31"/>
  <c r="AE123" i="31"/>
  <c r="AG123" i="31"/>
  <c r="AH123" i="31"/>
  <c r="AD124" i="31"/>
  <c r="AE124" i="31"/>
  <c r="AG124" i="31"/>
  <c r="AH124" i="31"/>
  <c r="AD128" i="31"/>
  <c r="AE128" i="31"/>
  <c r="AG128" i="31"/>
  <c r="AH128" i="31"/>
  <c r="AD141" i="31"/>
  <c r="AF141" i="31"/>
  <c r="AD144" i="31"/>
  <c r="AF144" i="31"/>
  <c r="AD150" i="31"/>
  <c r="AF150" i="31"/>
  <c r="AD154" i="31"/>
  <c r="AF154" i="31"/>
  <c r="AD168" i="31"/>
  <c r="AF168" i="31"/>
  <c r="AD171" i="31"/>
  <c r="AF171" i="31"/>
  <c r="AD172" i="31"/>
  <c r="AF172" i="31"/>
  <c r="AD180" i="31"/>
  <c r="AF180" i="31"/>
  <c r="AD181" i="31"/>
  <c r="AF181" i="31"/>
  <c r="AD186" i="31"/>
  <c r="AF186" i="31"/>
  <c r="AD201" i="31"/>
  <c r="AF201" i="31"/>
  <c r="R203" i="31"/>
  <c r="AD205" i="31"/>
  <c r="AF205" i="31"/>
  <c r="R210" i="31"/>
  <c r="L320" i="31"/>
  <c r="M320" i="31"/>
  <c r="L324" i="31"/>
  <c r="M324" i="31"/>
  <c r="L325" i="31"/>
  <c r="M325" i="31"/>
  <c r="G49" i="32"/>
  <c r="N49" i="32"/>
  <c r="D50" i="32"/>
  <c r="G50" i="32"/>
  <c r="K50" i="32"/>
  <c r="N50" i="32"/>
  <c r="D51" i="32"/>
  <c r="G51" i="32"/>
  <c r="K51" i="32"/>
  <c r="N51" i="32"/>
  <c r="C52" i="32"/>
  <c r="D52" i="32"/>
  <c r="J52" i="32"/>
  <c r="K52" i="32"/>
  <c r="C53" i="32"/>
  <c r="D53" i="32"/>
  <c r="J53" i="32"/>
  <c r="K53" i="32"/>
  <c r="C54" i="32"/>
  <c r="D54" i="32"/>
  <c r="J54" i="32"/>
  <c r="K54" i="32"/>
  <c r="C55" i="32"/>
  <c r="D55" i="32"/>
  <c r="G55" i="32"/>
  <c r="J55" i="32"/>
  <c r="K55" i="32"/>
  <c r="D56" i="32"/>
  <c r="K56" i="32"/>
  <c r="N56" i="32"/>
  <c r="C57" i="32"/>
  <c r="D57" i="32"/>
  <c r="J57" i="32"/>
  <c r="K57" i="32"/>
  <c r="C58" i="32"/>
  <c r="D58" i="32"/>
  <c r="J58" i="32"/>
  <c r="K58" i="32"/>
  <c r="C59" i="32"/>
  <c r="D59" i="32"/>
  <c r="J59" i="32"/>
  <c r="K59" i="32"/>
  <c r="N59" i="32"/>
  <c r="D60" i="32"/>
  <c r="J60" i="32"/>
  <c r="K60" i="32"/>
  <c r="N60" i="32"/>
  <c r="J61" i="32"/>
  <c r="K61" i="32"/>
  <c r="N61" i="32"/>
  <c r="G64" i="32"/>
  <c r="N64" i="32"/>
  <c r="D65" i="32"/>
  <c r="G65" i="32"/>
  <c r="K65" i="32"/>
  <c r="N65" i="32"/>
  <c r="D66" i="32"/>
  <c r="G66" i="32"/>
  <c r="K66" i="32"/>
  <c r="N66" i="32"/>
  <c r="C67" i="32"/>
  <c r="D67" i="32"/>
  <c r="J67" i="32"/>
  <c r="K67" i="32"/>
  <c r="C68" i="32"/>
  <c r="D68" i="32"/>
  <c r="J68" i="32"/>
  <c r="K68" i="32"/>
  <c r="C69" i="32"/>
  <c r="D69" i="32"/>
  <c r="J69" i="32"/>
  <c r="K69" i="32"/>
  <c r="C70" i="32"/>
  <c r="D70" i="32"/>
  <c r="G70" i="32"/>
  <c r="J70" i="32"/>
  <c r="K70" i="32"/>
  <c r="N70" i="32"/>
  <c r="D71" i="32"/>
  <c r="K71" i="32"/>
  <c r="C72" i="32"/>
  <c r="D72" i="32"/>
  <c r="K72" i="32"/>
  <c r="C73" i="32"/>
  <c r="D73" i="32"/>
  <c r="J73" i="32"/>
  <c r="K73" i="32"/>
  <c r="N73" i="32"/>
  <c r="C74" i="32"/>
  <c r="D74" i="32"/>
  <c r="K74" i="32"/>
  <c r="N74" i="32"/>
  <c r="C75" i="32"/>
  <c r="D75" i="32"/>
  <c r="K75" i="32"/>
  <c r="N75" i="32"/>
  <c r="D76" i="32"/>
  <c r="K76" i="32"/>
  <c r="N76" i="32"/>
  <c r="J77" i="32"/>
  <c r="K77" i="32"/>
</calcChain>
</file>

<file path=xl/sharedStrings.xml><?xml version="1.0" encoding="utf-8"?>
<sst xmlns="http://schemas.openxmlformats.org/spreadsheetml/2006/main" count="2182" uniqueCount="1274">
  <si>
    <t>Name</t>
  </si>
  <si>
    <t>Crit</t>
  </si>
  <si>
    <t>Hit</t>
  </si>
  <si>
    <t>Str</t>
  </si>
  <si>
    <t>Sta</t>
  </si>
  <si>
    <t>Agi</t>
  </si>
  <si>
    <t>AP</t>
  </si>
  <si>
    <t>AC</t>
  </si>
  <si>
    <t>Speed</t>
  </si>
  <si>
    <t>DPS</t>
  </si>
  <si>
    <t>Head</t>
  </si>
  <si>
    <t>Lionheart Helm</t>
  </si>
  <si>
    <t>Neck</t>
  </si>
  <si>
    <t>Barbed Choker</t>
  </si>
  <si>
    <t>Shoulders</t>
  </si>
  <si>
    <t>Back</t>
  </si>
  <si>
    <t>Cloak of Concentrated Hatred</t>
  </si>
  <si>
    <t>Breastplate of Annihilation</t>
  </si>
  <si>
    <t>Wrist</t>
  </si>
  <si>
    <t>Qiraji Execution Bracers</t>
  </si>
  <si>
    <t>Hands</t>
  </si>
  <si>
    <t>Waist</t>
  </si>
  <si>
    <t>Onslaught Girdle</t>
  </si>
  <si>
    <t>Legs</t>
  </si>
  <si>
    <t>Feet</t>
  </si>
  <si>
    <t>Chromatic Boots</t>
  </si>
  <si>
    <t>Ring</t>
  </si>
  <si>
    <t>Ring of the Qiraji Fury</t>
  </si>
  <si>
    <t>Quick Strike Ring</t>
  </si>
  <si>
    <t>Trinket</t>
  </si>
  <si>
    <t>Drake Fang Talisman</t>
  </si>
  <si>
    <t>Earthstrike</t>
  </si>
  <si>
    <t>Main Hand</t>
  </si>
  <si>
    <t>Off Hand</t>
  </si>
  <si>
    <t>Death's Sting</t>
  </si>
  <si>
    <t>Ranged</t>
  </si>
  <si>
    <t>Striker's Mark</t>
  </si>
  <si>
    <t>Talents</t>
  </si>
  <si>
    <t>Arms</t>
  </si>
  <si>
    <t>Heroic Strike</t>
  </si>
  <si>
    <t>Deflection</t>
  </si>
  <si>
    <t>Imp. Rend</t>
  </si>
  <si>
    <t>Imp. Charge</t>
  </si>
  <si>
    <t>Tactical Mastery</t>
  </si>
  <si>
    <t>Imp. TC</t>
  </si>
  <si>
    <t>Imp. Overpower</t>
  </si>
  <si>
    <t>Anger Managerment</t>
  </si>
  <si>
    <t>Deep Wounds</t>
  </si>
  <si>
    <t>2H Specialization</t>
  </si>
  <si>
    <t>Total</t>
  </si>
  <si>
    <t>Impale</t>
  </si>
  <si>
    <t>Sweeping Strikes</t>
  </si>
  <si>
    <t>Mace Spec</t>
  </si>
  <si>
    <t>Sword Spec</t>
  </si>
  <si>
    <t>Imp. Hamstring</t>
  </si>
  <si>
    <t>Mortal Strike</t>
  </si>
  <si>
    <t>Fury</t>
  </si>
  <si>
    <t>Booming Voice</t>
  </si>
  <si>
    <t>Imp. DS</t>
  </si>
  <si>
    <t>Unbridled Wrath</t>
  </si>
  <si>
    <t>Imp. Cleave</t>
  </si>
  <si>
    <t>Piercing Howl</t>
  </si>
  <si>
    <t>WhiteDPS</t>
  </si>
  <si>
    <t>Bloodcraze</t>
  </si>
  <si>
    <t>Imp. BS</t>
  </si>
  <si>
    <t>Imp. DW</t>
  </si>
  <si>
    <t>DPR</t>
  </si>
  <si>
    <t>RPS</t>
  </si>
  <si>
    <t>Imp. Exe</t>
  </si>
  <si>
    <t>Bloodthirst</t>
  </si>
  <si>
    <t>Enrage</t>
  </si>
  <si>
    <t>Slam</t>
  </si>
  <si>
    <t>Imp. Slam</t>
  </si>
  <si>
    <t>Deathwish</t>
  </si>
  <si>
    <t>Cleave</t>
  </si>
  <si>
    <t>Imp. Intercept</t>
  </si>
  <si>
    <t>Whirlwind</t>
  </si>
  <si>
    <t>Imp. BR</t>
  </si>
  <si>
    <t>Flurry</t>
  </si>
  <si>
    <t>Overpower</t>
  </si>
  <si>
    <t>Hamstring</t>
  </si>
  <si>
    <t>v0.1</t>
  </si>
  <si>
    <t>Starting document</t>
  </si>
  <si>
    <t>v0.2</t>
  </si>
  <si>
    <t>Dumplings</t>
  </si>
  <si>
    <t>Grace of Air</t>
  </si>
  <si>
    <t>Common raid buffs added.  Changed Mod F Chance so it doesn't go over 1.  Stuck WF DPS next to the buff because it didn't fit anywhere else</t>
  </si>
  <si>
    <t>Replaced Arcanite Reaper with DEoI for slam calcs.  Calcs still aren't 100% accurate, but close enough.</t>
  </si>
  <si>
    <t>Made a few changes in the notes section about the dps calcs of abilities and slam.</t>
  </si>
  <si>
    <t>Added Bloodrage to the RagePS field.</t>
  </si>
  <si>
    <t>It's assumed you're BT and Wwing already.  Modified Hamstring's RPS to reflect cooldown time on BT and WW.</t>
  </si>
  <si>
    <t>The RagePS still isn't enough to justify BT+WW+Ham, but lag and human delay should make up the difference</t>
  </si>
  <si>
    <t xml:space="preserve">Decided to fill in Swings/Hamstring at half the rate.  With raid buffs and global cooldown(1.5s), should be able to maintain it. </t>
  </si>
  <si>
    <t>Changed naked stats to reflect actual stats instead of crit%, AC, HP, and AP.  Shows interaction with BoK better.  Still gnome stats.</t>
  </si>
  <si>
    <t>Blessed Qiraji Pugio</t>
  </si>
  <si>
    <t>Dark Edge of Insanity</t>
  </si>
  <si>
    <t>Conqueror's Breastplate</t>
  </si>
  <si>
    <t>Conqueror's Greaves</t>
  </si>
  <si>
    <t>Conqueror's Legguards</t>
  </si>
  <si>
    <t>Helm of Endless Rage</t>
  </si>
  <si>
    <t>Drake Talon Pauldrons</t>
  </si>
  <si>
    <t>Bracers of Brutality</t>
  </si>
  <si>
    <t>v0.3</t>
  </si>
  <si>
    <t>Fixed average and Mod F weapon speeds to reflect level of flurry talent</t>
  </si>
  <si>
    <t>Added 2H warrior dps on sheet 2</t>
  </si>
  <si>
    <t>Added new damage model, 80%/20%.  This is for long fights with sustained dps.  In this model it is assume you use BT, WW, and Hamstring</t>
  </si>
  <si>
    <t>for the first 80% of the fight.  The rage generated supports that, and over a long fight, you still have enough left over to build up 100 rage execute.</t>
  </si>
  <si>
    <t>Added assumed mitigation of target variable.  Default is .8 to match up with Chalon's spreadsheets</t>
  </si>
  <si>
    <t>The last 20% is spent execute spamming.  For simplicity of calculations, I assume that duration of the 20% portion is exactly 1/4 of the 80%</t>
  </si>
  <si>
    <t>Obviously, this doesn't work out exactly because execute spam is greater than dps during 80%.  And for fights like Huhuran</t>
  </si>
  <si>
    <t>this model won't work, please give feedback on improving it.  I model execute spam for 2H differently because of the big gaps in rage gain from a slow weapon</t>
  </si>
  <si>
    <t>v0.31</t>
  </si>
  <si>
    <t>Fixed problem with DPS column in 2H.  The cells were shifted down one.</t>
  </si>
  <si>
    <t>Gnome</t>
  </si>
  <si>
    <t>Night Elf</t>
  </si>
  <si>
    <t>Orc</t>
  </si>
  <si>
    <t>Undead</t>
  </si>
  <si>
    <t>Tauren</t>
  </si>
  <si>
    <t>Human</t>
  </si>
  <si>
    <t>Dwarf</t>
  </si>
  <si>
    <t>Troll</t>
  </si>
  <si>
    <t>Race</t>
  </si>
  <si>
    <t>Skill</t>
  </si>
  <si>
    <t>v0.4</t>
  </si>
  <si>
    <t>Starting Race</t>
  </si>
  <si>
    <t>Libram of Constituion</t>
  </si>
  <si>
    <t>Libram of Voracity(+8 Str)</t>
  </si>
  <si>
    <t>Libram of Voracity(+8 Agi)</t>
  </si>
  <si>
    <t>Libram of Voracity(+8 Sta)</t>
  </si>
  <si>
    <t>Libram of Rapidity</t>
  </si>
  <si>
    <t>Greater Agility</t>
  </si>
  <si>
    <t>Greater Strength</t>
  </si>
  <si>
    <t>Superior Agility</t>
  </si>
  <si>
    <t>Minor Haste</t>
  </si>
  <si>
    <t>Gauntlets of Annihilation</t>
  </si>
  <si>
    <t>Shoulder</t>
  </si>
  <si>
    <t>Might of the Scourge</t>
  </si>
  <si>
    <t>Zandalar Signet of Might</t>
  </si>
  <si>
    <t>Lesser Agility</t>
  </si>
  <si>
    <t>Subtelty</t>
  </si>
  <si>
    <t>Dodge</t>
  </si>
  <si>
    <t>Superior Stamina</t>
  </si>
  <si>
    <t>Superior Strength</t>
  </si>
  <si>
    <t>Greater Stamina</t>
  </si>
  <si>
    <t>Minor Speed</t>
  </si>
  <si>
    <t>MH Weapon</t>
  </si>
  <si>
    <t>Crusader</t>
  </si>
  <si>
    <t>Strength</t>
  </si>
  <si>
    <t>Fiery</t>
  </si>
  <si>
    <t>Superior Striking</t>
  </si>
  <si>
    <t>Lifestealing</t>
  </si>
  <si>
    <t>OH Weapon</t>
  </si>
  <si>
    <t>Chest</t>
  </si>
  <si>
    <t>Greater Stats</t>
  </si>
  <si>
    <t>Stats</t>
  </si>
  <si>
    <t>Major Health</t>
  </si>
  <si>
    <t>Parry</t>
  </si>
  <si>
    <t>Defense</t>
  </si>
  <si>
    <t>Conqueror's Crown</t>
  </si>
  <si>
    <t>Helm of Wrath</t>
  </si>
  <si>
    <t>Helm of Domination</t>
  </si>
  <si>
    <t>Helm of Might</t>
  </si>
  <si>
    <t>Helm of Valor</t>
  </si>
  <si>
    <t>Helm of Heroism</t>
  </si>
  <si>
    <t>Gauntlets of Wrath</t>
  </si>
  <si>
    <t>Gauntlets of Steadfast Determination</t>
  </si>
  <si>
    <t>Flameguard Gauntlets</t>
  </si>
  <si>
    <t>Gauntlets of the Immovable</t>
  </si>
  <si>
    <t>Gauntlets of Might</t>
  </si>
  <si>
    <t>Stronghold Gauntlets</t>
  </si>
  <si>
    <t>Reiver Claws</t>
  </si>
  <si>
    <t>Gloves of Enforcement</t>
  </si>
  <si>
    <t>Aged Core Leather Gloves</t>
  </si>
  <si>
    <t>Prestor's Talisman of Connivery</t>
  </si>
  <si>
    <t>Onyxia Tooth Pendant</t>
  </si>
  <si>
    <t>Eskhandar's Collar</t>
  </si>
  <si>
    <t>Fury of the Forgotten Swarm</t>
  </si>
  <si>
    <t>Choker of the Shifting Sands</t>
  </si>
  <si>
    <t>The Eye of Hakkar</t>
  </si>
  <si>
    <t>Amulet of the Darkmoon</t>
  </si>
  <si>
    <t>Beads of Ogre Might</t>
  </si>
  <si>
    <t>Will of the Martyr</t>
  </si>
  <si>
    <t>Conqueror's Spaulders</t>
  </si>
  <si>
    <t>Pauldrons of the Unrelenting</t>
  </si>
  <si>
    <t>Pauldrons of Wrath</t>
  </si>
  <si>
    <t>Polished Obsidian Pauldrons</t>
  </si>
  <si>
    <t>Spaulders of Heroism</t>
  </si>
  <si>
    <t>Cloak of the Fallen God</t>
  </si>
  <si>
    <t>Cloak of the Golden Hive</t>
  </si>
  <si>
    <t>Cloak of Firemaw</t>
  </si>
  <si>
    <t>Cloak of the Shrouded Mists</t>
  </si>
  <si>
    <t>Dragon's Blood Cape</t>
  </si>
  <si>
    <t>Sandstorm Cloak</t>
  </si>
  <si>
    <t>Drape of Unyielding Strength</t>
  </si>
  <si>
    <t>Puissant Cape</t>
  </si>
  <si>
    <t>Cloak of Draconic Might</t>
  </si>
  <si>
    <t>Zulian Tigerhide Cloak</t>
  </si>
  <si>
    <t>Eskhandar's Pelt</t>
  </si>
  <si>
    <t>Cloak of the Honor Guard</t>
  </si>
  <si>
    <t>Windshear Cape</t>
  </si>
  <si>
    <t>Cape of the Black Baron</t>
  </si>
  <si>
    <t>Phantasmal Cloak</t>
  </si>
  <si>
    <t>Stoneskin Gargoyle Cape</t>
  </si>
  <si>
    <t>Onyxia Scale Cloak</t>
  </si>
  <si>
    <t>Stormpike Soldier's Cloak</t>
  </si>
  <si>
    <t>Breastplate of Wrath</t>
  </si>
  <si>
    <t>Breastplate of Might</t>
  </si>
  <si>
    <t>Zandalar Vindicator's Breastplate</t>
  </si>
  <si>
    <t>Breastplate of Heroism</t>
  </si>
  <si>
    <t>Breastplate of the Chromatic Flight</t>
  </si>
  <si>
    <t>Vest of Swift Execution</t>
  </si>
  <si>
    <t>Runed Bloodstained Hauberk</t>
  </si>
  <si>
    <t>Breastplate of Bloodthirst</t>
  </si>
  <si>
    <t>Bloodsoul Breastplate</t>
  </si>
  <si>
    <t>Ogre Forged Hauberk</t>
  </si>
  <si>
    <t>Cadaverous Armor</t>
  </si>
  <si>
    <t>Deathdealer Breastplate</t>
  </si>
  <si>
    <t>Savage Gladiator Chain</t>
  </si>
  <si>
    <t>Hive Defiler Wristguards</t>
  </si>
  <si>
    <t>Bracelets of Wrath</t>
  </si>
  <si>
    <t>Zandalar Vindicator's Armguards</t>
  </si>
  <si>
    <t>Abyssal Plate Vambraces</t>
  </si>
  <si>
    <t>Bracers of Might</t>
  </si>
  <si>
    <t>Berserker Bracers</t>
  </si>
  <si>
    <t>Bracers of Heroism</t>
  </si>
  <si>
    <t>Battleborn Armbraces</t>
  </si>
  <si>
    <t>Gordok Bracers of Power</t>
  </si>
  <si>
    <t>Deeprock Bracers</t>
  </si>
  <si>
    <t>Vambraces of the Sadist</t>
  </si>
  <si>
    <t>Scaled Bracers of the Gorger</t>
  </si>
  <si>
    <t>Wristguards of True Flight</t>
  </si>
  <si>
    <t>Wristguards of Stability</t>
  </si>
  <si>
    <t>Royal Qiraji Belt</t>
  </si>
  <si>
    <t>Waistband of Wrath</t>
  </si>
  <si>
    <t>Triad Girdle</t>
  </si>
  <si>
    <t>Belt of the Sand Reaver</t>
  </si>
  <si>
    <t>Belt of Shrunken Heads</t>
  </si>
  <si>
    <t>Zandalar Vindicator's Belt</t>
  </si>
  <si>
    <t>Belt of Heroism</t>
  </si>
  <si>
    <t>Brigam Girdle</t>
  </si>
  <si>
    <t>Omokk's Girth Restrainer</t>
  </si>
  <si>
    <t>Belt of Never-ending Agony</t>
  </si>
  <si>
    <t>Ossirian's Binding</t>
  </si>
  <si>
    <t>Legplates of Wrath</t>
  </si>
  <si>
    <t>Legguards of the Fallen Crusader</t>
  </si>
  <si>
    <t>Legplates of the Qiraji Command</t>
  </si>
  <si>
    <t>Bloodsoaked Legplates</t>
  </si>
  <si>
    <t>Legplates of Might</t>
  </si>
  <si>
    <t>Legplates of Heroism</t>
  </si>
  <si>
    <t>Abyssal Plate Legplates</t>
  </si>
  <si>
    <t>Eldritch Reinforced Legplates</t>
  </si>
  <si>
    <t>Handcrafted Mastersmith Leggings</t>
  </si>
  <si>
    <t>Dark Heart Pants</t>
  </si>
  <si>
    <t>Scaled Sand Reaver Leggings</t>
  </si>
  <si>
    <t>Blademaster Leggings</t>
  </si>
  <si>
    <t>Cadaverous Leggings</t>
  </si>
  <si>
    <t>Sabatons of Wrath</t>
  </si>
  <si>
    <t>Boots of the Fallen Hero</t>
  </si>
  <si>
    <t>Slime Kickers</t>
  </si>
  <si>
    <t>Boots of Unwavering Will</t>
  </si>
  <si>
    <t>Sabatons of Might</t>
  </si>
  <si>
    <t>Boots of Heroism</t>
  </si>
  <si>
    <t>Boots of the Shadow Flame</t>
  </si>
  <si>
    <t>Boots of the Vanguard</t>
  </si>
  <si>
    <t>Ring of the Godslayer</t>
  </si>
  <si>
    <t>Master Dragonslayer's Ring</t>
  </si>
  <si>
    <t>Archimtiros' Ring of Reckoning</t>
  </si>
  <si>
    <t>Ring of Emperor Vek'lor</t>
  </si>
  <si>
    <t>Signet Ring of the Bronze Dragonflight</t>
  </si>
  <si>
    <t>Band of Accuria</t>
  </si>
  <si>
    <t>Circle of Applied Force</t>
  </si>
  <si>
    <t>Ring of Fury</t>
  </si>
  <si>
    <t>Signet of Unyielding Strength</t>
  </si>
  <si>
    <t>Seal of Jin</t>
  </si>
  <si>
    <t>Band of Earthen Might</t>
  </si>
  <si>
    <t>Don Julio's Band</t>
  </si>
  <si>
    <t>Painweaver Band</t>
  </si>
  <si>
    <t>Protector's Band</t>
  </si>
  <si>
    <t>Darkmoon Card: Maelstrom</t>
  </si>
  <si>
    <t>Blackhand's Breadth</t>
  </si>
  <si>
    <t>Hand of Justice</t>
  </si>
  <si>
    <t>Rune of the Guard Captain</t>
  </si>
  <si>
    <t>Axes</t>
  </si>
  <si>
    <t>Blessed Qiraji War Axe</t>
  </si>
  <si>
    <t>Min Hit</t>
  </si>
  <si>
    <t>Max Hit</t>
  </si>
  <si>
    <t>Deathbringer</t>
  </si>
  <si>
    <t>Doom's Edge</t>
  </si>
  <si>
    <t>Sickle of Unyielding Strength</t>
  </si>
  <si>
    <t>Ancient Hakkari Manslayer</t>
  </si>
  <si>
    <t>Dark Iron Destroyer</t>
  </si>
  <si>
    <t>Frostbite</t>
  </si>
  <si>
    <t>Annihilator</t>
  </si>
  <si>
    <t>Bone Slicing Hatchet</t>
  </si>
  <si>
    <t>Iceblade Hacker</t>
  </si>
  <si>
    <t>Soulrender</t>
  </si>
  <si>
    <t>Serathil</t>
  </si>
  <si>
    <t>Axe of the Deep Woods</t>
  </si>
  <si>
    <t>Daggers</t>
  </si>
  <si>
    <t>Perdition's Blade</t>
  </si>
  <si>
    <t>Shadowsong's Sorrow</t>
  </si>
  <si>
    <t>Dragonfang Blade</t>
  </si>
  <si>
    <t>Core Hound Tooth</t>
  </si>
  <si>
    <t>Dagger of Veiled Shadows</t>
  </si>
  <si>
    <t>Gutgore Ripper</t>
  </si>
  <si>
    <t>Fang of the Faceless</t>
  </si>
  <si>
    <t>Black Amnesty</t>
  </si>
  <si>
    <t>Glacial Blade</t>
  </si>
  <si>
    <t>The Lobotomizer</t>
  </si>
  <si>
    <t>The Thunderwood Poker</t>
  </si>
  <si>
    <t>Finkle's Skinner</t>
  </si>
  <si>
    <t>Felstriker</t>
  </si>
  <si>
    <t>Darrowspike</t>
  </si>
  <si>
    <t>Heartseeker</t>
  </si>
  <si>
    <t>Alcor's Sunrazor</t>
  </si>
  <si>
    <t>Scarlet Kris</t>
  </si>
  <si>
    <t>Distracting Dagger</t>
  </si>
  <si>
    <t>Bonescraper</t>
  </si>
  <si>
    <t>Scout's Blade</t>
  </si>
  <si>
    <t>Maces</t>
  </si>
  <si>
    <t>Blessed Qiraji War Hammer</t>
  </si>
  <si>
    <t>Spineshatter</t>
  </si>
  <si>
    <t>Sand Polished Hammer</t>
  </si>
  <si>
    <t>Hammer of Bestial Fury</t>
  </si>
  <si>
    <t>Anubisath Warhammer</t>
  </si>
  <si>
    <t>Ebon Hand</t>
  </si>
  <si>
    <t>Empyrean Demolisher</t>
  </si>
  <si>
    <t>Stormstrike Hammer</t>
  </si>
  <si>
    <t>Sceptre of Smiting</t>
  </si>
  <si>
    <t>Persuader</t>
  </si>
  <si>
    <t>Mass of McGowan</t>
  </si>
  <si>
    <t>Timeworn Mace</t>
  </si>
  <si>
    <t>Fists</t>
  </si>
  <si>
    <t>Silithid Claw</t>
  </si>
  <si>
    <t>Eskhandar's Left Claw</t>
  </si>
  <si>
    <t>Eskhandar's Right Claw</t>
  </si>
  <si>
    <t>Thekal's Grasp</t>
  </si>
  <si>
    <t>Arlokk's Grasp</t>
  </si>
  <si>
    <t>Willey's Back Scratcher</t>
  </si>
  <si>
    <t>Lefty's Brass Knuckle</t>
  </si>
  <si>
    <t>Thunderfury</t>
  </si>
  <si>
    <t>Chromatically Tempered Sword</t>
  </si>
  <si>
    <t>Ancient Qiraji Ripper</t>
  </si>
  <si>
    <t>Ravencrest's Legacy</t>
  </si>
  <si>
    <t>Maladath</t>
  </si>
  <si>
    <t>Vis'kag the Bloodletter</t>
  </si>
  <si>
    <t>Quel'Serrar</t>
  </si>
  <si>
    <t>Nightmare Blade</t>
  </si>
  <si>
    <t>Brutality Blade</t>
  </si>
  <si>
    <t>Zulian Slicer</t>
  </si>
  <si>
    <t>Fiery Retributor</t>
  </si>
  <si>
    <t>Warblade of the Hakkari(OH)</t>
  </si>
  <si>
    <t>Bloodlord's Defender</t>
  </si>
  <si>
    <t>Teebu's Blazing Longsword</t>
  </si>
  <si>
    <t>Dark Iron Reaver</t>
  </si>
  <si>
    <t>Ravenholdt Slicer</t>
  </si>
  <si>
    <t>Dal'Rend's Tribal Guardian</t>
  </si>
  <si>
    <t>Skullforge Reaver</t>
  </si>
  <si>
    <t>Sword of Zeal</t>
  </si>
  <si>
    <t>Cold Forged Blade</t>
  </si>
  <si>
    <t>Cho'Rush's Blade</t>
  </si>
  <si>
    <t>Krol Blade</t>
  </si>
  <si>
    <t>Swords</t>
  </si>
  <si>
    <t>Bows</t>
  </si>
  <si>
    <t>Huhuran's Stinger</t>
  </si>
  <si>
    <t>Heartstriker</t>
  </si>
  <si>
    <t>Hoodoo Hunting Bow</t>
  </si>
  <si>
    <t>Bow of Taut Sinew</t>
  </si>
  <si>
    <t>Mandokir's Sting</t>
  </si>
  <si>
    <t>Outrunner's Bow</t>
  </si>
  <si>
    <t>Gorewood Bow</t>
  </si>
  <si>
    <t>Ancient Bone Bow</t>
  </si>
  <si>
    <t>Malgen's Long Bow</t>
  </si>
  <si>
    <t>Riphook</t>
  </si>
  <si>
    <t>Satyr's Bow</t>
  </si>
  <si>
    <t>Crossbow of Imminent Doom</t>
  </si>
  <si>
    <t>Polished Ironwood Crossbow</t>
  </si>
  <si>
    <t>Fahrad's Reloading Repeater</t>
  </si>
  <si>
    <t>Bloodseeker</t>
  </si>
  <si>
    <t>Carapace Spine Crossbow</t>
  </si>
  <si>
    <t>Blackcrow</t>
  </si>
  <si>
    <t>Heartseeking Crossbow</t>
  </si>
  <si>
    <t>Dragonbreath Hand Cannon</t>
  </si>
  <si>
    <t>Blastershot Launcher</t>
  </si>
  <si>
    <t>Gurubashi Dwarf Destroyer</t>
  </si>
  <si>
    <t>Silithid Husked Launcher</t>
  </si>
  <si>
    <t>Crystal Slugthrower</t>
  </si>
  <si>
    <t>Willey's Portable Howitzer</t>
  </si>
  <si>
    <t>Burstshot Harquebus</t>
  </si>
  <si>
    <t>Guttbuster</t>
  </si>
  <si>
    <t>Slot</t>
  </si>
  <si>
    <t>Abyssal Plate Epaulets</t>
  </si>
  <si>
    <t>Average Hit</t>
  </si>
  <si>
    <t>None</t>
  </si>
  <si>
    <t>Enchant</t>
  </si>
  <si>
    <t>Added pull-downs for all gear and enchants on DW sheet</t>
  </si>
  <si>
    <t>Moved around the talents and buffs, shaded and colored some of the user inputs, hopefully easier to use now</t>
  </si>
  <si>
    <t>Deleted generic DPS and 55/45 models, didn't feel these were accurate enough to be of any use.</t>
  </si>
  <si>
    <t>Toxin Injector</t>
  </si>
  <si>
    <t>Girdle of the Mentor</t>
  </si>
  <si>
    <t>Cloak of the Scourge</t>
  </si>
  <si>
    <t>Leggings of the Apocalypse</t>
  </si>
  <si>
    <t>Sadist's Collar</t>
  </si>
  <si>
    <t>Band of Reanimation</t>
  </si>
  <si>
    <t>Signet of the Fallen Defender</t>
  </si>
  <si>
    <t>Widow's Remorse</t>
  </si>
  <si>
    <t>Crul'Shorukh, Edge of Chaos</t>
  </si>
  <si>
    <t>v0.41</t>
  </si>
  <si>
    <t>Added Naxx items and updated PVP items</t>
  </si>
  <si>
    <t>Berserker Stance</t>
  </si>
  <si>
    <t>Added Berserker Stance as optional buff</t>
  </si>
  <si>
    <t>Straight HP librams and enchants should be working now</t>
  </si>
  <si>
    <t>2H</t>
  </si>
  <si>
    <t>Spinal Reaper</t>
  </si>
  <si>
    <t>Drake Talon Cleaver</t>
  </si>
  <si>
    <t>Draconic Avenger</t>
  </si>
  <si>
    <t>Neretzek, The Blood Drinker</t>
  </si>
  <si>
    <t>Nightfall</t>
  </si>
  <si>
    <t>Zulian Stone Axe</t>
  </si>
  <si>
    <t>Gri'lek's Carver</t>
  </si>
  <si>
    <t>Arcanite Reaper</t>
  </si>
  <si>
    <t>Treant's Bane</t>
  </si>
  <si>
    <t>Gravestone War Axe</t>
  </si>
  <si>
    <t>Malicious Axe</t>
  </si>
  <si>
    <t>Brain Hacker</t>
  </si>
  <si>
    <t>The Nicker</t>
  </si>
  <si>
    <t>Dreadforge Retaliator</t>
  </si>
  <si>
    <t>Axe</t>
  </si>
  <si>
    <t>Mace</t>
  </si>
  <si>
    <t>Sulfuras, Hand of Ragnaros</t>
  </si>
  <si>
    <t>Draconic Maul</t>
  </si>
  <si>
    <t>Sulfuron Hammer</t>
  </si>
  <si>
    <t>Earthshaker</t>
  </si>
  <si>
    <t>The Unstoppable Force</t>
  </si>
  <si>
    <t>Jeklik's Crusher</t>
  </si>
  <si>
    <t>Doomulus Prime</t>
  </si>
  <si>
    <t>Hammer of the Titans</t>
  </si>
  <si>
    <t>Bonecrusher</t>
  </si>
  <si>
    <t>Fist of Omokk</t>
  </si>
  <si>
    <t>Polearm</t>
  </si>
  <si>
    <t>Barb of the Sand Reaver</t>
  </si>
  <si>
    <t>Tigule's Harpoon</t>
  </si>
  <si>
    <t>Pitchfork of Madness</t>
  </si>
  <si>
    <t>Blackfury</t>
  </si>
  <si>
    <t>Halberd of Smiting</t>
  </si>
  <si>
    <t>Blackhand Doomsaw</t>
  </si>
  <si>
    <t>Ice Barbed Spear</t>
  </si>
  <si>
    <t>Monstrous Glaive</t>
  </si>
  <si>
    <t>Huntsman's Harpoon</t>
  </si>
  <si>
    <t>Stonecutting Glaive</t>
  </si>
  <si>
    <t>Peacemaker</t>
  </si>
  <si>
    <t>Sword</t>
  </si>
  <si>
    <t>Ashkhandi</t>
  </si>
  <si>
    <t>Kalimdor's Revenge</t>
  </si>
  <si>
    <t>Bonereaver's Edge</t>
  </si>
  <si>
    <t>The Untamed Blade</t>
  </si>
  <si>
    <t>Typhoon</t>
  </si>
  <si>
    <t>Obsidian Edged Blade</t>
  </si>
  <si>
    <t>Zin'rokh, Destroyer of Worlds</t>
  </si>
  <si>
    <t>Manslayer of the Qiraji</t>
  </si>
  <si>
    <t>Blade of Hanna</t>
  </si>
  <si>
    <t>Warblade of Caer Darrow</t>
  </si>
  <si>
    <t>Blackblade of Shahram</t>
  </si>
  <si>
    <t>Runeblade of Baron Rivendare</t>
  </si>
  <si>
    <t>Barbarous Blade</t>
  </si>
  <si>
    <t>Relentless Scythe</t>
  </si>
  <si>
    <t>Darkstone Claymore</t>
  </si>
  <si>
    <t>Destiny</t>
  </si>
  <si>
    <t>Added in Death Wish, normalized over whole duration</t>
  </si>
  <si>
    <t>Added 2H functionality onto DW page</t>
  </si>
  <si>
    <t>Added accurate proc calculation for fiery, life stealing, and crusader</t>
  </si>
  <si>
    <t>Changed Hit mods to take into account weapon skill affecting dodge rates</t>
  </si>
  <si>
    <t>Modeled HoJ, Kiss of the Spider, and Darkmoon Card:Maelstrom</t>
  </si>
  <si>
    <t>Added hit calculations into the yellow hit mod</t>
  </si>
  <si>
    <t>v0.42</t>
  </si>
  <si>
    <t>Sentinel's Plate Legguards</t>
  </si>
  <si>
    <t>Added DPS field with no execute</t>
  </si>
  <si>
    <t>Added Sentinel's Plate Legguards</t>
  </si>
  <si>
    <t>Added -crit from high mob level to hit mods, was adding +skill to +hit twice</t>
  </si>
  <si>
    <t>Agility</t>
  </si>
  <si>
    <t>Changed flurry calcs; instead of the swings per yellow attack, I take the average amount of yellow swing per 3 white swings</t>
  </si>
  <si>
    <t>Fixed haste enchants, added separate field for item haste</t>
  </si>
  <si>
    <t>Raid Buffs</t>
  </si>
  <si>
    <t>Alliance Buffs</t>
  </si>
  <si>
    <t>Horde Buffs</t>
  </si>
  <si>
    <t>Consumables</t>
  </si>
  <si>
    <t>Ground Scorpok Assay</t>
  </si>
  <si>
    <t>R.O.I.D.S.</t>
  </si>
  <si>
    <t>Juju Power</t>
  </si>
  <si>
    <t>Warchief's Blessing</t>
  </si>
  <si>
    <t>Rallying Call</t>
  </si>
  <si>
    <t>Blessed Sunfruit</t>
  </si>
  <si>
    <t>Grilled Squid</t>
  </si>
  <si>
    <t>Winterspring Firewater</t>
  </si>
  <si>
    <t>Spirit of Zandalar</t>
  </si>
  <si>
    <t>Added more consumables and buffs, cleaned up the buff section</t>
  </si>
  <si>
    <t>Larvae of the Great Worm</t>
  </si>
  <si>
    <t>Edgemaster's Handguards</t>
  </si>
  <si>
    <t>v0.43</t>
  </si>
  <si>
    <t>Item fixes and updates</t>
  </si>
  <si>
    <t>Proc DPS</t>
  </si>
  <si>
    <t>Added DPS field for other trinket</t>
  </si>
  <si>
    <t>Misses</t>
  </si>
  <si>
    <t>Hits</t>
  </si>
  <si>
    <t>Crits</t>
  </si>
  <si>
    <t>Glancing Blows</t>
  </si>
  <si>
    <t>Parries</t>
  </si>
  <si>
    <t>Dodges</t>
  </si>
  <si>
    <t>Blocks</t>
  </si>
  <si>
    <t>Breastplate of Valor</t>
  </si>
  <si>
    <t>Crown of Destruction</t>
  </si>
  <si>
    <t>White MH Connects/s</t>
  </si>
  <si>
    <t>Combined 2H and DW hit mods</t>
  </si>
  <si>
    <t>Cleaned up a lot equations, hopefully they are easier to understand for others</t>
  </si>
  <si>
    <t>Yellow Connects/s</t>
  </si>
  <si>
    <t>White OH Connects/s</t>
  </si>
  <si>
    <t>Windfury Connects/s</t>
  </si>
  <si>
    <t>HoJ Connects/s</t>
  </si>
  <si>
    <t>Fixed Windfury calcs.  The extra hits from HoJ weren't being included, and the extra hits from Windfury weren't being included in HoJ and all other procs</t>
  </si>
  <si>
    <t>Strength of Earth</t>
  </si>
  <si>
    <t>Crit cap on white hits and higher level mobs is now included</t>
  </si>
  <si>
    <t>New field added for HamstringCD and total rage/s before execute</t>
  </si>
  <si>
    <t>Seal of the Gurubashi Berserker</t>
  </si>
  <si>
    <t>Leader of the Pack</t>
  </si>
  <si>
    <t>v0.44</t>
  </si>
  <si>
    <t>Libram of Constitution</t>
  </si>
  <si>
    <t>Seal of the Dawn</t>
  </si>
  <si>
    <t>Fixed Deathbringer #REF error</t>
  </si>
  <si>
    <t>Fixed Windfury calcs, they were on the brief 1.12 nerf.  Also removed HoJConnects from possible hits that proc WF.  I know that HoJ hits CAN proc WF, but it's causing a circular reference in the spreadsheet</t>
  </si>
  <si>
    <t>Added manual cooldown field for all abilities without a prolonged cooldown.  The new field is located to the right of the "RPS" column and is shaded green.</t>
  </si>
  <si>
    <t>Added proc dps in for Thunderfury, estimated at 20% chance/hit</t>
  </si>
  <si>
    <t>Put in more labels for calculations</t>
  </si>
  <si>
    <t>v0.45</t>
  </si>
  <si>
    <t>More item fixes</t>
  </si>
  <si>
    <t>Diamond Flask</t>
  </si>
  <si>
    <t>Windfury DPS</t>
  </si>
  <si>
    <t>Protection</t>
  </si>
  <si>
    <t>1H Spec</t>
  </si>
  <si>
    <t>Added cooldown field for trinkets</t>
  </si>
  <si>
    <t>Sacrificial Gauntlets</t>
  </si>
  <si>
    <t>SS Connects/s</t>
  </si>
  <si>
    <t>SS DPS</t>
  </si>
  <si>
    <t>Modeled MSA, estimated at 3.5PPM</t>
  </si>
  <si>
    <t>Added MS and SS modeling</t>
  </si>
  <si>
    <t>Fixed "DSP sans execute" field, was multiplying yellow damage by .8 still</t>
  </si>
  <si>
    <t>Changed flurry calcs to take into account DW weapons of the same speed</t>
  </si>
  <si>
    <t>Execute Spam</t>
  </si>
  <si>
    <t>v0.46</t>
  </si>
  <si>
    <t>Added Big Execute field, Execute Spam Field, and DPS while executing field(thanks celandro)</t>
  </si>
  <si>
    <t>Added calculation for using excess rage on HS(thanks celandro)</t>
  </si>
  <si>
    <t>Added Threat Per Second column for each DPS stage</t>
  </si>
  <si>
    <t>Fixed Item Haste calcs(they were additive, should be multiplicative)</t>
  </si>
  <si>
    <t>v0.461</t>
  </si>
  <si>
    <t>Removed White Flurry Chance field, made the equation circular and upped the iterations</t>
  </si>
  <si>
    <t>Added BoS and Tranquil Air Totem</t>
  </si>
  <si>
    <t>Fixed #Div/0! error when switching from DW to 2H</t>
  </si>
  <si>
    <t>Tranquil Air</t>
  </si>
  <si>
    <t>Weapon Type</t>
  </si>
  <si>
    <t>Dagger</t>
  </si>
  <si>
    <t>Fist</t>
  </si>
  <si>
    <t>v0.47</t>
  </si>
  <si>
    <t>Fixed normalization for daggers</t>
  </si>
  <si>
    <t>Juju Might</t>
  </si>
  <si>
    <t>Juju Flurry</t>
  </si>
  <si>
    <t>Mighty Rage Pot</t>
  </si>
  <si>
    <t>Added Juju Flurry and Juju Power</t>
  </si>
  <si>
    <t>MH Skill</t>
  </si>
  <si>
    <t>OH Skill</t>
  </si>
  <si>
    <t>Expert Goldminer's Helmet</t>
  </si>
  <si>
    <t>2H Axe</t>
  </si>
  <si>
    <t>2H Mace</t>
  </si>
  <si>
    <t>2H Sword</t>
  </si>
  <si>
    <t>Varied</t>
  </si>
  <si>
    <t>Implemented weapon skills for different types of weapon</t>
  </si>
  <si>
    <t>Implemented separate hit table for offhand</t>
  </si>
  <si>
    <t>Redid overpower calcs</t>
  </si>
  <si>
    <t>Added checkboxes for consumables and cooldowns</t>
  </si>
  <si>
    <t>Fixed stats for Maexxna's Fang and Dragon Blood's Cape</t>
  </si>
  <si>
    <t>White MH Swings/s</t>
  </si>
  <si>
    <t>Yellow Swings/s</t>
  </si>
  <si>
    <t>White OH Swings/s</t>
  </si>
  <si>
    <t>Windfury Swings/s</t>
  </si>
  <si>
    <t>HoJ Swings/s</t>
  </si>
  <si>
    <t>SS Swings/s</t>
  </si>
  <si>
    <t>Def</t>
  </si>
  <si>
    <t>Modified flurry calcs to include different crit bases for MH, OH, overpower, and yellow hits(thanks frmorrison and Celandro)</t>
  </si>
  <si>
    <t>Fixed trinket slot problem where HoJ and Maelstrom had to go in a certain slot, they can go in either now(thanks Polocabbit)</t>
  </si>
  <si>
    <t>v0.471</t>
  </si>
  <si>
    <t>Fixed #Div/0 error in cell C58</t>
  </si>
  <si>
    <t>v0.48</t>
  </si>
  <si>
    <t>Implemented beta version of TBC warrior talents; Rampage averaged out to 28 AP over duration</t>
  </si>
  <si>
    <t>Implemented user input for player level</t>
  </si>
  <si>
    <t>v0.481</t>
  </si>
  <si>
    <t>Implemented an "excess rage" equation for slam similar to heroic strike, also fixed slam's RagePS field</t>
  </si>
  <si>
    <t>Fixed hate generation for heroic strike</t>
  </si>
  <si>
    <t>Fixed Windfury and SS dps, they weren't taking into account misses and dodges, and slams were being counted(which is wrong)</t>
  </si>
  <si>
    <t>Modified WhiteMH and WhiteOH swings to account for slams replacing them</t>
  </si>
  <si>
    <t>Fixed some more calcs regarding player level</t>
  </si>
  <si>
    <t>v0.482</t>
  </si>
  <si>
    <t>Added conditional statements for assumed updates for certain abilities.  Spreadsheet still functions fine at level 60</t>
  </si>
  <si>
    <t>Toughness</t>
  </si>
  <si>
    <t>Added Thunderclap</t>
  </si>
  <si>
    <t>Added Rend</t>
  </si>
  <si>
    <t>Modified Cooldown equation for slam.  It was calculating the white rage cost incorrectly, as well as the maximum cooldown time</t>
  </si>
  <si>
    <t>Crit stones MH/OH</t>
  </si>
  <si>
    <t>Dense stones MH/OH</t>
  </si>
  <si>
    <t>Consecrated MH/OH</t>
  </si>
  <si>
    <t>Added separate check boxes for MH and OH stones</t>
  </si>
  <si>
    <t>Added misc. requested items</t>
  </si>
  <si>
    <t>Gauntlets of Heroism</t>
  </si>
  <si>
    <t>Skull Splitting Crossbow</t>
  </si>
  <si>
    <t>Added common set bonuses</t>
  </si>
  <si>
    <t>Modified started stats to a per level basis up to level 70</t>
  </si>
  <si>
    <t>v0.483</t>
  </si>
  <si>
    <t>Added second scroll window to DPS tab to help with the increasing lengthe of the tab(Thanks Rezarel)</t>
  </si>
  <si>
    <t>Implemented circular references for Windfury, SS, HoJ connects to model their nature</t>
  </si>
  <si>
    <t>Raw Stats</t>
  </si>
  <si>
    <t>Slam changed once again.  From my own testing, it can proc HoJ.  Extending that to Windfury and SS.</t>
  </si>
  <si>
    <t>Added Raw Stats implementation.  This will bypass all stat gear and stat buffs, meaning you still have to select your weapons for their speed and damage.  Buffs like Berserker Stance will still apply</t>
  </si>
  <si>
    <t>Implemented 80%/20% division for dps calcs further up the page.  This is mainly to point out differences in warriors using 2H weapons to execute.  Will allow trinket/buff stacking during execute soon</t>
  </si>
  <si>
    <t>Implemented weapon switch field during execute.</t>
  </si>
  <si>
    <t>Jom Gabbar</t>
  </si>
  <si>
    <t>v0.484</t>
  </si>
  <si>
    <t>Added Jom Gabbar</t>
  </si>
  <si>
    <t>Changed Overpower equations to account for different dodge rates between MH and OH</t>
  </si>
  <si>
    <t>Modified FinalAverageSpeed to reflect actuall average speed, was wrong before</t>
  </si>
  <si>
    <t>Fixed Heroic Strike so it can be used with Slam.  Slam take priority in using excess rage</t>
  </si>
  <si>
    <t>Added macros to spit out APvsCritvsHit data, see notes section for use</t>
  </si>
  <si>
    <t>v0.485</t>
  </si>
  <si>
    <t>Fixed overpower calc, was included offhand swings when set to 2H</t>
  </si>
  <si>
    <t>Modified flurry calc to account for proportionate MH and OH swings based on weapon speed instead of 50/50 split</t>
  </si>
  <si>
    <t>Modified flurry calc to account for WF/HoJ/SS eating flurry charges</t>
  </si>
  <si>
    <t>MH Glancing Mod</t>
  </si>
  <si>
    <t>OH Glancing Mod</t>
  </si>
  <si>
    <t>Cruelty</t>
  </si>
  <si>
    <t>Poleaxe Spec</t>
  </si>
  <si>
    <t>Updated Rampage, putting it at 250 AP, .5 rage cost per second</t>
  </si>
  <si>
    <t>Added separate execute speed calc, please let me know what you think</t>
  </si>
  <si>
    <t>Implemented Endless Rage, Improved Mortal Strike, Weapon Mastery, Devastate, Vitality, Focused Rage</t>
  </si>
  <si>
    <t>New data points to procs unable to proc other procs, so I took HoJ/WF/SS proccing off HoJ/WF/SS</t>
  </si>
  <si>
    <t>MSA's proc changed to 2PPM</t>
  </si>
  <si>
    <t>Implemented a better version of execute range and execute switching</t>
  </si>
  <si>
    <t>Fungal Bloom, Songflower, and Battle Squak buffs add</t>
  </si>
  <si>
    <t>Fungal Bloom</t>
  </si>
  <si>
    <t>Fixed coefficient on FinalAverageSpeed, was multiplying by 2 for some reason, this will affect flurry uptime considerably</t>
  </si>
  <si>
    <t>Ironfoe</t>
  </si>
  <si>
    <t>Razorsteel Shoulders</t>
  </si>
  <si>
    <t>Modified Ironfoe proc formula to a more simplified and realistic output (Proc dps value seemed vastly inflated in previous version of the sheet and now adds roughly 18dps which puts it in the ballpark of BWL-loot)</t>
  </si>
  <si>
    <t>Added missing proc formula for Viskag with a procrate of 2PPM (actual procrate on ED is still not confirmed and needs testing)</t>
  </si>
  <si>
    <t>Modified cell #E32 in the DPS section as to provide 4% hit (assuming Strikers mark+hitscope) since no hitscope is otherwise added to the sheet.</t>
  </si>
  <si>
    <t>Modified Darkmooncard: Maelstroms proc formula not not use a PPM model but a %-change model with a roughly 11% chance to proc which is what I have gotten in tests with procwatch.</t>
  </si>
  <si>
    <t>Thrash Blade</t>
  </si>
  <si>
    <t>Added proc formula for Alcor's Sunrazer with a Nost-tested procrate of approximately 4%</t>
  </si>
  <si>
    <t>Added proc formula for Thrash blade with a Nost-tested (but not confirmed) procrate of approximately 10%</t>
  </si>
  <si>
    <t>Devilsaur Leggings</t>
  </si>
  <si>
    <t>Devilsaur Gauntlets</t>
  </si>
  <si>
    <t>Mask of the Unforgiven</t>
  </si>
  <si>
    <t>Battlechaser's Greaves</t>
  </si>
  <si>
    <t>Soulstring</t>
  </si>
  <si>
    <t>Tombstone Breastplate</t>
  </si>
  <si>
    <t>Truestrike Shoulders</t>
  </si>
  <si>
    <t>Tarnished Elven Ring</t>
  </si>
  <si>
    <t>Substituted values for Heroic Strike Rank 8 rather than Rank 9 which is unavailable in this patch</t>
  </si>
  <si>
    <t>Added equations for hamstring and slam which take into account global cooldown caps and rage limitations</t>
  </si>
  <si>
    <t>Crit Cap</t>
  </si>
  <si>
    <t>Finding the BiS combination mostly involves adding hit until you are no longer crit capped, so a crit cap cell has been added to the DPS sheet.</t>
  </si>
  <si>
    <t>All DPR calculations will now properly account for damage and rage gain from windfury procs</t>
  </si>
  <si>
    <t>The rage lost from losing an auto swing due to HS/Cleave was being affected by mob mitigation twice, this was corrected giving lower DPR values</t>
  </si>
  <si>
    <t>A few additional items were added including devilsaur set and mask of the unforgiven.</t>
  </si>
  <si>
    <t>Improved accuracy of execute dps when using the execute switch tickbox</t>
  </si>
  <si>
    <t>Remodelled Slam which will now correctly consider Windfury procs in regards to DPS, DPR and RPS.</t>
  </si>
  <si>
    <t>White DPS and Heroic Strike interaction remodelled to account for white MH swings transferring into yellow swings, weapon skill and hit will now accurately scale with HS spam</t>
  </si>
  <si>
    <t>R7 and R12 gloves hamstring rage reduction is now accounted for.</t>
  </si>
  <si>
    <t>Increased special cap to 8.6% however the value of hit below cap still seems to be too low.</t>
  </si>
  <si>
    <t>Ironfoe and Thrash Blade procs modelled using an apparently blizzlike 10% proc chance (lacking information in this regard)</t>
  </si>
  <si>
    <t>White dps is now directly affected by slam usage in a similar fashion to HS and Cleave</t>
  </si>
  <si>
    <t xml:space="preserve">Fixed ironfoe/thrash blade bug, which would double the proc dps </t>
  </si>
  <si>
    <t>Bloodmail Boots</t>
  </si>
  <si>
    <t>Malfurion's Blessed Bulwark</t>
  </si>
  <si>
    <t>Obsidian Mail Tunic</t>
  </si>
  <si>
    <t>Spell Crit</t>
  </si>
  <si>
    <t>DM Buffs</t>
  </si>
  <si>
    <t>Stamina</t>
  </si>
  <si>
    <t>Warblade of the Hakkari(MH)</t>
  </si>
  <si>
    <t>Might of Cenarius</t>
  </si>
  <si>
    <t>Armor Reduction</t>
  </si>
  <si>
    <t>Curse of Recklessness</t>
  </si>
  <si>
    <t>Faerie Fire</t>
  </si>
  <si>
    <t>Mob Mitigation</t>
  </si>
  <si>
    <t>Boss Effective Armor</t>
  </si>
  <si>
    <t xml:space="preserve">v1.1 </t>
  </si>
  <si>
    <t>Added BRE proc, Armor Reduction debuffs, Armor Mitigation formula, Corrected Mighty Rage Potion formula</t>
  </si>
  <si>
    <t>Blazefury Medallion</t>
  </si>
  <si>
    <t>v1.2</t>
  </si>
  <si>
    <t>Badge of the Swarmguard</t>
  </si>
  <si>
    <t>v1.3</t>
  </si>
  <si>
    <t>Cooldowns</t>
  </si>
  <si>
    <t>Death Wish</t>
  </si>
  <si>
    <t>Made Death Wish dynamic towards fight duration. Added Death Wish toggle button.</t>
  </si>
  <si>
    <t xml:space="preserve">Updated trinket formulas for Earthstrike, Diamond Flask, Jom Gabbar, Slayer's Crest, Kiss of the Spider and made them dynamic in relation to fight duration. </t>
  </si>
  <si>
    <t>Minor corrections, removed double deathwish modifier from Ironfoe proc.</t>
  </si>
  <si>
    <t>Reworked glancing formula</t>
  </si>
  <si>
    <t>Reworked trinket and death wish formulas to be dependant on fight duration</t>
  </si>
  <si>
    <t>Updated proc rates on Thunderfury, Ironfoe, Viskagg</t>
  </si>
  <si>
    <t>Added toggles for DM buffs</t>
  </si>
  <si>
    <t>Corrected some item stats, added in some items.</t>
  </si>
  <si>
    <t>Added toggles for Armor Reduction debuffs</t>
  </si>
  <si>
    <t>Added Armor Mitigation formula</t>
  </si>
  <si>
    <t>Corrected Mighty Rage Potion formula</t>
  </si>
  <si>
    <t>Added Empyrean Demolisher proc</t>
  </si>
  <si>
    <t>Stopped 2h weapon enchants from affecting dualwield</t>
  </si>
  <si>
    <t>Made Mighty Rage Potion and Juju Flurry dynamic in relation to fight duration.</t>
  </si>
  <si>
    <t>Fury Visor</t>
  </si>
  <si>
    <t>Dreadnaught Helm</t>
  </si>
  <si>
    <t>Helm of the Executioner</t>
  </si>
  <si>
    <t>R13 Plate Helm</t>
  </si>
  <si>
    <t>R10 Plate Helm</t>
  </si>
  <si>
    <t>Imperial Jewel</t>
  </si>
  <si>
    <t>Mark of Fordring</t>
  </si>
  <si>
    <t>Pendant of Celerity</t>
  </si>
  <si>
    <t>R10 Plate Shoulders</t>
  </si>
  <si>
    <t>Bloodsoaked Pauldrons</t>
  </si>
  <si>
    <t>Pauldrons of Might</t>
  </si>
  <si>
    <t>Spaulders of Valor</t>
  </si>
  <si>
    <t>R13 Plate Shoulders</t>
  </si>
  <si>
    <t>Dreadnaught Pauldrons</t>
  </si>
  <si>
    <t>Wyrmhide Spaulders</t>
  </si>
  <si>
    <t>NetStr20</t>
  </si>
  <si>
    <t>NetAP20</t>
  </si>
  <si>
    <t>CrusaderMH20</t>
  </si>
  <si>
    <t>CrusaderOH20</t>
  </si>
  <si>
    <t>MHWeaponProcDPS20</t>
  </si>
  <si>
    <t>OHWeaponProcDPS20</t>
  </si>
  <si>
    <t>Trinket1DPS20</t>
  </si>
  <si>
    <t>Trinket2DPS20</t>
  </si>
  <si>
    <t>ProcDPS20</t>
  </si>
  <si>
    <t>DPS20</t>
  </si>
  <si>
    <t>v1.4</t>
  </si>
  <si>
    <t>Fixed pre-execute rotation affecting execute rotation dmg.</t>
  </si>
  <si>
    <t>THWeaponProcDPS20</t>
  </si>
  <si>
    <t>MHEnchantDPS20</t>
  </si>
  <si>
    <t>OHEnchantDPS20</t>
  </si>
  <si>
    <t>THEnchantDPS20</t>
  </si>
  <si>
    <t>NetItemHaste20</t>
  </si>
  <si>
    <t>Added execute phase calculations for trinkets, weapon procs, enchants, itemhaste.</t>
  </si>
  <si>
    <t>Changed Darkmoon Card: Maelstrom PPM to 2 and added 0,8 resist modifier.</t>
  </si>
  <si>
    <t>Changed Misplaced Servo Arm proc chance to 6%.</t>
  </si>
  <si>
    <t>Changed Deathbringer proc chance to 8%.</t>
  </si>
  <si>
    <t>Heart of Wyrmthalak</t>
  </si>
  <si>
    <t>Added Heart of Wyrmthalak (3 PPM).</t>
  </si>
  <si>
    <t>Changed Thrash Blade proc chance to 5%.</t>
  </si>
  <si>
    <t>Corrected Empyrean Demolisher formula to properly take attack speed into account</t>
  </si>
  <si>
    <t>Corrected Untamed Blade formula</t>
  </si>
  <si>
    <t>SkillDiffMH</t>
  </si>
  <si>
    <t>SkillDiffOH</t>
  </si>
  <si>
    <t>v1.5</t>
  </si>
  <si>
    <t>Fixed attack table for Kronos</t>
  </si>
  <si>
    <t>Black Dragonscale Shoulders</t>
  </si>
  <si>
    <t>Black Dragonscale Leggings</t>
  </si>
  <si>
    <t>Black Dragonscale Breastplate</t>
  </si>
  <si>
    <t>Black Dragonscale Boots</t>
  </si>
  <si>
    <t>Sapphiron's Scale Boots</t>
  </si>
  <si>
    <t>Magni's Will</t>
  </si>
  <si>
    <t>Naglering</t>
  </si>
  <si>
    <t>Multiplier</t>
  </si>
  <si>
    <t>BaseMissMH</t>
  </si>
  <si>
    <t>BaseMissOH</t>
  </si>
  <si>
    <t>Fight Duration</t>
  </si>
  <si>
    <t>R7 Gauntlets</t>
  </si>
  <si>
    <t>Voone's Vice Grips</t>
  </si>
  <si>
    <t>R8 Plate Armor</t>
  </si>
  <si>
    <t>Belt of Might</t>
  </si>
  <si>
    <t>Arathi Plate Girdle</t>
  </si>
  <si>
    <t>R12 Plate Legguards</t>
  </si>
  <si>
    <t>R8 Plate Leggings</t>
  </si>
  <si>
    <t>Pads of the Dread Wolf</t>
  </si>
  <si>
    <t>Swiftwalker Boots</t>
  </si>
  <si>
    <t>R12 Plate Boots</t>
  </si>
  <si>
    <t>R7 Plate Boots</t>
  </si>
  <si>
    <t>Blackstone Ring</t>
  </si>
  <si>
    <t>Counterattack Lodestone</t>
  </si>
  <si>
    <t>Dal'Rend's Sacred Charge</t>
  </si>
  <si>
    <t>R14 Swift Blade</t>
  </si>
  <si>
    <t>R14 Longsword</t>
  </si>
  <si>
    <t>WSG Sword</t>
  </si>
  <si>
    <t>R14 Hammer</t>
  </si>
  <si>
    <t>R14 Claw</t>
  </si>
  <si>
    <t>R14 Dagger</t>
  </si>
  <si>
    <t>R14 Axe</t>
  </si>
  <si>
    <t>Mirah's song</t>
  </si>
  <si>
    <t>R14 Greatsword</t>
  </si>
  <si>
    <t>R14 Polearm</t>
  </si>
  <si>
    <t>R14 Pulveriser</t>
  </si>
  <si>
    <t>R14 Battle Axe</t>
  </si>
  <si>
    <t>R13 Plate Armor</t>
  </si>
  <si>
    <t>R12 Gauntlets</t>
  </si>
  <si>
    <t>Cloudkeeper Legplates</t>
  </si>
  <si>
    <t>Arathi Plate Spaulders</t>
  </si>
  <si>
    <t>Arathi Plate Greaves</t>
  </si>
  <si>
    <t>Bracers of Valor</t>
  </si>
  <si>
    <t>Gauntlets of Valor</t>
  </si>
  <si>
    <t>Belt of Valor</t>
  </si>
  <si>
    <t>Legplates of Valor</t>
  </si>
  <si>
    <t>Boots of Valor</t>
  </si>
  <si>
    <t>Reworked attack table and glancing blows for Elysium.</t>
  </si>
  <si>
    <t>Reworked itemization for Elysium.</t>
  </si>
  <si>
    <t>Changed Ironfoe proc chance to 6%.</t>
  </si>
  <si>
    <t>Changed Empyrean Demolisher proc chance to 4,67%</t>
  </si>
  <si>
    <t>Integrated Black Dragonscale, Devilsaur Leather, PvP and D1 item setbonuses.</t>
  </si>
  <si>
    <t>Changed Elemental Sharpening Stones to only affect the weapon its used on.</t>
  </si>
  <si>
    <t>Reworked armor mitigation formula for Elysium.</t>
  </si>
  <si>
    <t>Changed Viskag proc chance to 5,63%</t>
  </si>
  <si>
    <t>Changed Thunderfury proc chance to 17,48%</t>
  </si>
  <si>
    <t>Changed Deathbringer proc chance to 5%</t>
  </si>
  <si>
    <t>Fixed RagePS, ragegen from Windfury was taken into account twice.</t>
  </si>
  <si>
    <t>BossArmor20</t>
  </si>
  <si>
    <t>BREArmorReduction20</t>
  </si>
  <si>
    <t>YellowHitMod20</t>
  </si>
  <si>
    <t>MobMitigation20</t>
  </si>
  <si>
    <t>WhiteHitMod20</t>
  </si>
  <si>
    <t>v2.1</t>
  </si>
  <si>
    <t>Corrected blue PvP set stats.</t>
  </si>
  <si>
    <t>Added Bonereaver's Edge armor reduction calculations.</t>
  </si>
  <si>
    <t>Corrected Untamed Blade formula and proc chance.</t>
  </si>
  <si>
    <t>Changed Darkmoon Card: Maelstrom PPM to 1.</t>
  </si>
  <si>
    <t>Added proc chance to Perdition's Blade with 1,3 PPM.</t>
  </si>
  <si>
    <t>UTB20</t>
  </si>
  <si>
    <t>Changed Alcor's Sunrazor PPM to 1,3.</t>
  </si>
  <si>
    <t>v2.2</t>
  </si>
  <si>
    <t>Changed "Raw Stats" toggle to add stats instead of replace them. Good for figuring out stat weights.</t>
  </si>
  <si>
    <t>Changed Heart of Wyrmthalak PPM to 1.</t>
  </si>
  <si>
    <t>Added Cloudkeeper Legplates toggle.</t>
  </si>
  <si>
    <t>Band of the Ogre King</t>
  </si>
  <si>
    <t>BTHitMod</t>
  </si>
  <si>
    <t>v2.3</t>
  </si>
  <si>
    <t>White Attack Table</t>
  </si>
  <si>
    <t>OH White Attack Table</t>
  </si>
  <si>
    <t>Yellow Attack Table</t>
  </si>
  <si>
    <t>Added Bloodthirst Attack Table and Bloodthirst Hit Mod</t>
  </si>
  <si>
    <t>Corrected Crit Cap formula</t>
  </si>
  <si>
    <t>Prevented chain procs.</t>
  </si>
  <si>
    <t>Removed Heroic Strike formula, the cooldown has to be manually chosen now. It was causing issues with armor mitigation.</t>
  </si>
  <si>
    <t>Cleaned up abilities and corrected DPR formulas.</t>
  </si>
  <si>
    <t>Removed PlayerLevel, replaced it with a default of 60.</t>
  </si>
  <si>
    <t>Removed Execute switch, as I believe it's inaccurate and unneccessary for this type of spreadsheet calculation.</t>
  </si>
  <si>
    <t>Changed the 80%/20% model to 85%/15% to more accurately take into account increased dps during execute phase.</t>
  </si>
  <si>
    <t>v1</t>
  </si>
  <si>
    <t>Version</t>
  </si>
  <si>
    <t>Notes</t>
  </si>
  <si>
    <t>Emerald Dream - Hjuke</t>
  </si>
  <si>
    <r>
      <t xml:space="preserve">Sheet has been picked up by </t>
    </r>
    <r>
      <rPr>
        <sz val="8"/>
        <rFont val="Arial"/>
        <family val="2"/>
        <charset val="186"/>
      </rPr>
      <t>Hjuke</t>
    </r>
    <r>
      <rPr>
        <sz val="8"/>
        <rFont val="Arial"/>
        <family val="2"/>
      </rPr>
      <t xml:space="preserve"> on Emerald Dream and with the help of the ED community and testing done by myself made the following additions/revisions and changes:</t>
    </r>
  </si>
  <si>
    <r>
      <t>Storfan (Hjuke on ED)</t>
    </r>
    <r>
      <rPr>
        <sz val="8"/>
        <rFont val="Arial"/>
        <family val="2"/>
      </rPr>
      <t xml:space="preserve"> modifies some values for Nostalrius server. Procs on most items has ED-values as no proper testing has been perfomed for Nost values.</t>
    </r>
  </si>
  <si>
    <t>Nostalrius - Storfan</t>
  </si>
  <si>
    <t>Nostalrius - Vdo</t>
  </si>
  <si>
    <t>v0.5</t>
  </si>
  <si>
    <t>v0.51</t>
  </si>
  <si>
    <t>v0.486</t>
  </si>
  <si>
    <t>Kronos - Steppenwolf</t>
  </si>
  <si>
    <t>Server - Developer / Date</t>
  </si>
  <si>
    <t>Elysium - Steppenwolf</t>
  </si>
  <si>
    <t>v2.0</t>
  </si>
  <si>
    <t>Added sheet for Changelog and cleaned up its format.</t>
  </si>
  <si>
    <t>TPS</t>
  </si>
  <si>
    <t>Normal Rotation</t>
  </si>
  <si>
    <t>Execute Phase</t>
  </si>
  <si>
    <t>Corrected TPS formula.</t>
  </si>
  <si>
    <t>Abilities</t>
  </si>
  <si>
    <t>Reworked DPS Sheet Layout.</t>
  </si>
  <si>
    <t>To figure out stat weights, use the "Raw stats" toggle and compare the DPS values when adding different amounts of AP/Crit/Hit.</t>
  </si>
  <si>
    <t>Renamed sheet "Notes" to "User Guide" and rewrote it.</t>
  </si>
  <si>
    <t>Blackguard</t>
  </si>
  <si>
    <t>Shield Slam</t>
  </si>
  <si>
    <t>v2.4</t>
  </si>
  <si>
    <t>Added Warblade of the Hakkari set bonus.</t>
  </si>
  <si>
    <t>Updated miss chance formula.</t>
  </si>
  <si>
    <t>AQ20 Class Books</t>
  </si>
  <si>
    <t>Battle Shout</t>
  </si>
  <si>
    <t>Blessing of Might</t>
  </si>
  <si>
    <t>Added AQ20 Class Book toggles.</t>
  </si>
  <si>
    <t>Over Crit Cap OH</t>
  </si>
  <si>
    <t>Over Crit Cap MH</t>
  </si>
  <si>
    <t>CD</t>
  </si>
  <si>
    <t>Enemy Level</t>
  </si>
  <si>
    <t>Enemy Base Armor</t>
  </si>
  <si>
    <t>Fixed RagePS20 formula.</t>
  </si>
  <si>
    <t>Average Armor Reduction</t>
  </si>
  <si>
    <t>BotSArmorReduction20</t>
  </si>
  <si>
    <t>WhiteOHHitMod20</t>
  </si>
  <si>
    <t>Ironfoe Swing/s</t>
  </si>
  <si>
    <t>Ironfoe Connects/s</t>
  </si>
  <si>
    <t>Added Ironfoe swings and connects variables.</t>
  </si>
  <si>
    <t>Attack Power</t>
  </si>
  <si>
    <t>Average Attack Power</t>
  </si>
  <si>
    <t>v2.5</t>
  </si>
  <si>
    <t>Added table-based calculation for Badge of the Swarmguard.</t>
  </si>
  <si>
    <t>Added table-based calculation for Jom Gabbar.</t>
  </si>
  <si>
    <t>Corrected DMC: Maelstrom formula for OH and Ironfoe procs.</t>
  </si>
  <si>
    <t>Correct Heart of Wyrmthalak formula for OH and Ironfoe procs.</t>
  </si>
  <si>
    <t>Band of Jin</t>
  </si>
  <si>
    <t>Added ZG Jin rings set bonus.</t>
  </si>
  <si>
    <t>Added a bunch of ZG items in preparation for ZG.</t>
  </si>
  <si>
    <t>Felstriker20</t>
  </si>
  <si>
    <t>v2.6</t>
  </si>
  <si>
    <t>Added Felstriker formula.</t>
  </si>
  <si>
    <t>Improved Hamstring and Heroic Strike DPR calculations.</t>
  </si>
  <si>
    <t>Stopped Heroic Strike from affecting RagePS twice.</t>
  </si>
  <si>
    <t>Improved layout.</t>
  </si>
  <si>
    <t>Mighty Rage Potion</t>
  </si>
  <si>
    <t>Death Wish Modifier</t>
  </si>
  <si>
    <t>v2.7</t>
  </si>
  <si>
    <t>Added cooldown calculations for Slam, Heroic Strike and Cleave.</t>
  </si>
  <si>
    <t>Fixed Misplaced Servo Arm formula and changed it to 14% proc chance.</t>
  </si>
  <si>
    <t>Added rage generation for Vis'kag the Bloodletter proc.</t>
  </si>
  <si>
    <t>v2.8</t>
  </si>
  <si>
    <t>Flurry Axe</t>
  </si>
  <si>
    <t>Shield Spec</t>
  </si>
  <si>
    <t>Anticipation</t>
  </si>
  <si>
    <t>Imp. Bloodrage</t>
  </si>
  <si>
    <t>Iron Will</t>
  </si>
  <si>
    <t>Last Stand</t>
  </si>
  <si>
    <t>Imp. Shield Block</t>
  </si>
  <si>
    <t>Imp. Revenge</t>
  </si>
  <si>
    <t>Defiance</t>
  </si>
  <si>
    <t>Imp. Sunder Armor</t>
  </si>
  <si>
    <t>Imp. Disarm</t>
  </si>
  <si>
    <t>Imp. Taunt</t>
  </si>
  <si>
    <t>Imp. Shield Wall</t>
  </si>
  <si>
    <t>Concussion Blow</t>
  </si>
  <si>
    <t>Imp. Shield Bash</t>
  </si>
  <si>
    <t>Added Protection talents.</t>
  </si>
  <si>
    <t>Skill Difference</t>
  </si>
  <si>
    <t>Reworked Glancing Blow and Weapon Skill system. Now they work properly for all enemy levels.</t>
  </si>
  <si>
    <t>Manual Crowd Pummeler</t>
  </si>
  <si>
    <t>Fixed Vis'kag proc DPS for OH.</t>
  </si>
  <si>
    <t>Corrected BT attack table to work for all levels.</t>
  </si>
  <si>
    <t>v2.9</t>
  </si>
  <si>
    <t>Added some Naxxramas gear.</t>
  </si>
  <si>
    <t>Fixed Badge of the Swarmguard for 2h.</t>
  </si>
  <si>
    <t>Fixed Execute phase calc for 2h.</t>
  </si>
  <si>
    <t>Base Damage</t>
  </si>
  <si>
    <t>Base Speed</t>
  </si>
  <si>
    <t>Normalization</t>
  </si>
  <si>
    <t>Slight cleanup of the namespace.</t>
  </si>
  <si>
    <t>Armor Reduction Cap</t>
  </si>
  <si>
    <t>BREBotS20</t>
  </si>
  <si>
    <t>Fixed BRE, Badge of the Swarmguard calcs to account for armor reduction overflow.</t>
  </si>
  <si>
    <t>Fixed BRE + Badge of the Swarmguard calc if they are both being used at the same time.</t>
  </si>
  <si>
    <t>BRE</t>
  </si>
  <si>
    <t>BREBotS</t>
  </si>
  <si>
    <t>BotS</t>
  </si>
  <si>
    <t>Armor Penetration</t>
  </si>
  <si>
    <t>v2.10</t>
  </si>
  <si>
    <t>Improved spreadsheet performance by replacing some VLOOKUP() functions with INDEX() MATCH() functions.</t>
  </si>
  <si>
    <t>Improved spreadsheet performance by replacing some IF() functions with MAX() functions.</t>
  </si>
  <si>
    <t>v2.11</t>
  </si>
  <si>
    <t>Execute is now also based on Bloodthirst Attack Table since it currently doesn't get affected by weapon skill.</t>
  </si>
  <si>
    <t xml:space="preserve">Added a slight improvement to slam calculation while using windfury. </t>
  </si>
  <si>
    <t>v2.12</t>
  </si>
  <si>
    <t>Prevented crit going off limit in attack table.</t>
  </si>
  <si>
    <t>Mugger's Belt</t>
  </si>
  <si>
    <t>Added Mugger's Belt to items.</t>
  </si>
  <si>
    <t>Bloodthirst Attack Table</t>
  </si>
  <si>
    <t>v2.13</t>
  </si>
  <si>
    <t>Lightbringer - Steppenwolf</t>
  </si>
  <si>
    <t>Updated items for patch 1.8.</t>
  </si>
  <si>
    <t>v2.14</t>
  </si>
  <si>
    <t>Fixed Orc weapon skill racial for 2h axes.</t>
  </si>
  <si>
    <t>Crystal Spiked Maul</t>
  </si>
  <si>
    <t>Seeping Willow</t>
  </si>
  <si>
    <t>Thunderstrike</t>
  </si>
  <si>
    <t>Added proc effects to 2h weapons.</t>
  </si>
  <si>
    <t>Proc OH</t>
  </si>
  <si>
    <t>Proc MH</t>
  </si>
  <si>
    <t>Proc MH20</t>
  </si>
  <si>
    <t>Proc OH20</t>
  </si>
  <si>
    <t>Added separate proc dps sections for dual-wield weapons, which will allow for accurate dps values if weapons are in both hands or only in off-hand.</t>
  </si>
  <si>
    <t>Emerald Dragonfang</t>
  </si>
  <si>
    <t>Qiraji Sacrificial Dagger</t>
  </si>
  <si>
    <t>Added all missing proc effects to dual-wield weapons.</t>
  </si>
  <si>
    <t>Fixed some proc effects for dual-wield weapons.</t>
  </si>
  <si>
    <t>Fixed HoJ and Painweaver Band stats.</t>
  </si>
  <si>
    <t>Fixed normal rotation and execute rotation formulas for trinket dps.</t>
  </si>
  <si>
    <t>v2.15</t>
  </si>
  <si>
    <t>Further corrections to extra attack proc formulas.</t>
  </si>
  <si>
    <t>v2.16</t>
  </si>
  <si>
    <t>Fixed weapon skill racials working for other races than orcs or humans.</t>
  </si>
  <si>
    <t>Limited 2h Specialization to 2h weapon only, incase someone leaves points in it while dual-wielding.</t>
  </si>
  <si>
    <t>v2.17</t>
  </si>
  <si>
    <t>Added minimum value of 0 to armor reduction cap.</t>
  </si>
  <si>
    <t>Added MSA proc for off-hand.</t>
  </si>
  <si>
    <t>v2.18</t>
  </si>
  <si>
    <t>Fixed Crusader enchant toggle for execute phase.</t>
  </si>
  <si>
    <t>Updated itemization for patch 1.9.</t>
  </si>
  <si>
    <t>Bogling Root</t>
  </si>
  <si>
    <t>Added Bogling Roots to consumables.</t>
  </si>
  <si>
    <t>v2.19</t>
  </si>
  <si>
    <t>Added Dark Heart Pants.</t>
  </si>
  <si>
    <t>Removed Vis'kag proc from RagePS formula and added Flurry Axe proc to RagePS formula.</t>
  </si>
  <si>
    <t>Updated Ironfoe PPM to 1.</t>
  </si>
  <si>
    <t>Updated Empyrean Demolisher PPM to 1,5.</t>
  </si>
  <si>
    <t>Fixed an issue which was causing 2h weapons to perform alot worse than they should.</t>
  </si>
  <si>
    <t>Fixed misses and dodges being able to proc Windfury and Flurry Axe.</t>
  </si>
  <si>
    <t>Added Hamstring threat to TPS.</t>
  </si>
  <si>
    <t>Changed TPS formula to take into account Heroic Strike ranks.</t>
  </si>
  <si>
    <t>Imp. Weapon Totems</t>
  </si>
  <si>
    <t>Windfury Totem</t>
  </si>
  <si>
    <t>Blessing of Kings</t>
  </si>
  <si>
    <t>Blessing of Salvation</t>
  </si>
  <si>
    <t>Trueshot Aura</t>
  </si>
  <si>
    <t>Power Word: Fortitude</t>
  </si>
  <si>
    <t>Mark of the Wild</t>
  </si>
  <si>
    <t>Battle Squawk</t>
  </si>
  <si>
    <t>Added AQ20 Class Book toggles for Strength of Earth and Grace of Air.</t>
  </si>
  <si>
    <t>Blood Fury</t>
  </si>
  <si>
    <t>BaseAP</t>
  </si>
  <si>
    <t>BaseAP20</t>
  </si>
  <si>
    <t>BloodFury</t>
  </si>
  <si>
    <t>BloodFury20</t>
  </si>
  <si>
    <t>Added Blood Fury.</t>
  </si>
  <si>
    <t>Rounded down Mark of the Wild values.</t>
  </si>
  <si>
    <t>Rounded down Battle Shout values.</t>
  </si>
  <si>
    <t>Songflower Serenade</t>
  </si>
  <si>
    <t>Elixir of the Mongoose</t>
  </si>
  <si>
    <t>Elixir of Giants</t>
  </si>
  <si>
    <t>Added a minimum CD of 4 sec to slam.</t>
  </si>
  <si>
    <t>Changed Net Haste to include haste from flurry.</t>
  </si>
  <si>
    <t/>
  </si>
  <si>
    <t>Polearms</t>
  </si>
  <si>
    <t>Crossbows</t>
  </si>
  <si>
    <t>Guns</t>
  </si>
  <si>
    <t>Fixed Div/0 errors when selecting blank option for weapons.</t>
  </si>
  <si>
    <t>Elixir of Greater Agility</t>
  </si>
  <si>
    <t>World Buffs</t>
  </si>
  <si>
    <t>Essence of the Red</t>
  </si>
  <si>
    <t>Restructured the buffs and consumables section.</t>
  </si>
  <si>
    <t>Added Essence of the Red, Elixir of Greater Agility.</t>
  </si>
  <si>
    <t>Added Imp. Weapon Totems to Horde Buffs.</t>
  </si>
  <si>
    <t>Overpower Attack Table</t>
  </si>
  <si>
    <t>OPHitMod</t>
  </si>
  <si>
    <t>Added Overpower Attack Table.</t>
  </si>
  <si>
    <t>Rewrote Flurry uptime formulas.</t>
  </si>
  <si>
    <t>Flurry Uptime</t>
  </si>
  <si>
    <t>Attacks per 1,5 sec</t>
  </si>
  <si>
    <t>&gt;10 rage per 1,5 sec</t>
  </si>
  <si>
    <t>Exe CD</t>
  </si>
  <si>
    <t>Total % of failure</t>
  </si>
  <si>
    <t>Total % of success</t>
  </si>
  <si>
    <t>KotS</t>
  </si>
  <si>
    <t>Moved Kiss of the Spider calculation to the Calcs sheet.</t>
  </si>
  <si>
    <t>Type</t>
  </si>
  <si>
    <t>Custom Item</t>
  </si>
  <si>
    <t>Wrists</t>
  </si>
  <si>
    <t>Added "None" and "Custom Item" as options for gear selection. To configure the custom item, you have to go to the Item Tables.</t>
  </si>
  <si>
    <t>One-handed Weapons</t>
  </si>
  <si>
    <t>Two-Handed Weapons</t>
  </si>
  <si>
    <t>Moved all gear lookup tables into one big table.</t>
  </si>
  <si>
    <t>Implemented new execute formula. Interested in feedback.</t>
  </si>
  <si>
    <t>Attributes</t>
  </si>
  <si>
    <t>Item Setup</t>
  </si>
  <si>
    <t>Using</t>
  </si>
  <si>
    <t>Buffs and Consumables</t>
  </si>
  <si>
    <t>Results</t>
  </si>
  <si>
    <t>Stam</t>
  </si>
  <si>
    <t>Select all the gear and enchants you want to use here.</t>
  </si>
  <si>
    <t>Toggle buttons are also always customizable.</t>
  </si>
  <si>
    <t>Enable iterative calculations.</t>
  </si>
  <si>
    <t>Maximum Iterations:</t>
  </si>
  <si>
    <t>Maximum Change:</t>
  </si>
  <si>
    <t>Make sure you have enabled iterative calculations by going to Options -&gt; Formulas.</t>
  </si>
  <si>
    <t>If you get a circular error in the DPS sheet, make sure you close the sheet without saving and then reopen it. Otherwise you will have to redownload it.</t>
  </si>
  <si>
    <t>Light's Hope Forum Post</t>
  </si>
  <si>
    <t>Spreadsheet Download Link</t>
  </si>
  <si>
    <t>If you find issues with the spreadsheet, you can post them in the Warrior Discord linked below.</t>
  </si>
  <si>
    <t>The Discord is also intended for all kinds of Warrior discussion, so feel free to join us!</t>
  </si>
  <si>
    <t>Rewrote the User Guide, included links to the Warrior Discord, Light's Hope forum post and the download link.</t>
  </si>
  <si>
    <t>Restructured and restyled the spreadsheet in order to make it more user-friendly.</t>
  </si>
  <si>
    <t>Recommended settings:</t>
  </si>
  <si>
    <r>
      <t xml:space="preserve">Bold red text </t>
    </r>
    <r>
      <rPr>
        <sz val="12"/>
        <color theme="1"/>
        <rFont val="Arial"/>
        <family val="2"/>
        <charset val="186"/>
      </rPr>
      <t xml:space="preserve">indicates that the values are customizable. Enchants are marked with </t>
    </r>
    <r>
      <rPr>
        <i/>
        <sz val="12"/>
        <color rgb="FFC00000"/>
        <rFont val="Arial"/>
        <family val="2"/>
        <charset val="186"/>
      </rPr>
      <t>italic red.</t>
    </r>
  </si>
  <si>
    <t>Fight Specifics</t>
  </si>
  <si>
    <t>Rotation</t>
  </si>
  <si>
    <t>Weapon Stats</t>
  </si>
  <si>
    <t>MH</t>
  </si>
  <si>
    <t>OH</t>
  </si>
  <si>
    <t>Haste</t>
  </si>
  <si>
    <t>Health</t>
  </si>
  <si>
    <t>Armor</t>
  </si>
  <si>
    <t>Average Crit</t>
  </si>
  <si>
    <t>Average Glancing</t>
  </si>
  <si>
    <t>Crit Chance</t>
  </si>
  <si>
    <t>Hit Chance</t>
  </si>
  <si>
    <t>Weapon Skill</t>
  </si>
  <si>
    <t>White Hit Modifier</t>
  </si>
  <si>
    <t>Normal</t>
  </si>
  <si>
    <t xml:space="preserve">Execute </t>
  </si>
  <si>
    <t>Rage Spent/Sec</t>
  </si>
  <si>
    <t>Rage Gain/Sec</t>
  </si>
  <si>
    <t>Fight Details</t>
  </si>
  <si>
    <t>Yellow Hit Modifier</t>
  </si>
  <si>
    <t>v3.0</t>
  </si>
  <si>
    <t>Time</t>
  </si>
  <si>
    <t>Event</t>
  </si>
  <si>
    <t>AA + BT</t>
  </si>
  <si>
    <t>Rage</t>
  </si>
  <si>
    <t>Swing Dmg</t>
  </si>
  <si>
    <t>Rage Gain</t>
  </si>
  <si>
    <t>Starting Rage</t>
  </si>
  <si>
    <t>WW</t>
  </si>
  <si>
    <t>Swing Time</t>
  </si>
  <si>
    <t>AA + Start Slam</t>
  </si>
  <si>
    <t>Start Slam</t>
  </si>
  <si>
    <t>BT</t>
  </si>
  <si>
    <t>AA</t>
  </si>
  <si>
    <t>AA+Start Slam</t>
  </si>
  <si>
    <t>Slam Cast Time</t>
  </si>
  <si>
    <t>AA+BT</t>
  </si>
  <si>
    <t>2h Rotation</t>
  </si>
  <si>
    <t>Ideal Hamstring Rotation</t>
  </si>
  <si>
    <t>DW Rotation</t>
  </si>
  <si>
    <t>Normal Rotation Version 2</t>
  </si>
  <si>
    <t>Ping</t>
  </si>
  <si>
    <t>Cooldown</t>
  </si>
  <si>
    <t>Ability</t>
  </si>
  <si>
    <t>Normal Rotation + Added Ping</t>
  </si>
  <si>
    <t>Normal Rotation Version 2 + Added Ping</t>
  </si>
  <si>
    <t>Ideal Hamstring Rotation + Added Ping</t>
  </si>
  <si>
    <t>Hamstring Rotation + Added Ping</t>
  </si>
  <si>
    <t>Normal Rotation (Default)</t>
  </si>
  <si>
    <t>Slam + Hamstring Version 2</t>
  </si>
  <si>
    <t>Slam Rotation Version 2</t>
  </si>
  <si>
    <t>Added Rotation Analysis sheet to help figure out ability CDs.</t>
  </si>
  <si>
    <t>Choose only one of Heroic Strike, Slam and Cleave. Cooldowns are automatic except for Overpower and Hamstring.</t>
  </si>
  <si>
    <t>Hamstring Rotation (Recommended)</t>
  </si>
  <si>
    <t>Slam Rotation Version 1 (Recommended for 2h Slam)</t>
  </si>
  <si>
    <t>Slam + Hamstring Version 1</t>
  </si>
  <si>
    <t>Setup your talent tree here.</t>
  </si>
  <si>
    <t>The sheet doesn't result in exactly the same DPS numbers as you would see in-game. DPS should be used as a metric to compare items.</t>
  </si>
  <si>
    <t>Everything you need for using the sheet is located in the main DPS sheet. You can add custom items in the Item Tables sheet. Rotation Analysis contains guidelines for ability cooldowns.</t>
  </si>
  <si>
    <t>Note: Make sure you enable 2h in the DPS sheet, otherwise these stats are irrelevant.</t>
  </si>
  <si>
    <t>v3.1</t>
  </si>
  <si>
    <t>Removed unnecessary IFERROR() from Flurry formula.</t>
  </si>
  <si>
    <t>Iblis, Blade of the Fallen Seraph (Naxx)</t>
  </si>
  <si>
    <t>Original Author:</t>
  </si>
  <si>
    <t>Deathwing from Llane realm</t>
  </si>
  <si>
    <t>Zulian Hacker of the Tiger</t>
  </si>
  <si>
    <t>Zulian Hacker of Strength</t>
  </si>
  <si>
    <t>Added Zulian Hacker of Strength and Zulian Hacker of the Tiger.</t>
  </si>
  <si>
    <t>Changed ImpExe to be slightly more accurate.</t>
  </si>
  <si>
    <t>Kronos</t>
  </si>
  <si>
    <t>Lightbringer</t>
  </si>
  <si>
    <t>Realm:</t>
  </si>
  <si>
    <t>Patch</t>
  </si>
  <si>
    <t>Realm</t>
  </si>
  <si>
    <t>Spreadsheet Patch</t>
  </si>
  <si>
    <t>Final Speed</t>
  </si>
  <si>
    <t>FinalSpeed</t>
  </si>
  <si>
    <t>FinalOHSpeed20</t>
  </si>
  <si>
    <t>FinalSpeed20</t>
  </si>
  <si>
    <t>New Execute Calc</t>
  </si>
  <si>
    <t>Rage Per Hit</t>
  </si>
  <si>
    <t>Generates &lt; Exe Rage</t>
  </si>
  <si>
    <t>Generates &gt; Exe Rage</t>
  </si>
  <si>
    <t>ExeRage</t>
  </si>
  <si>
    <t>Improved namespace for weapon stats and cleaned up some formulas that use them.</t>
  </si>
  <si>
    <t>Changed agility to increase armor by 2 instead of 0.5.</t>
  </si>
  <si>
    <t>Hatchet of Sundered Bone</t>
  </si>
  <si>
    <t>Harbinger of Doom</t>
  </si>
  <si>
    <t>Kingsfall</t>
  </si>
  <si>
    <t>Maexxna's Fang</t>
  </si>
  <si>
    <t>Claw of the Black Drake</t>
  </si>
  <si>
    <t>Claw of the Frost Wyrm</t>
  </si>
  <si>
    <t>Misplaced Servo Arm</t>
  </si>
  <si>
    <t>The Castigator</t>
  </si>
  <si>
    <t>Gressil, Dawn of Ruin</t>
  </si>
  <si>
    <t>The Hungering Cold</t>
  </si>
  <si>
    <t>Severance</t>
  </si>
  <si>
    <t>Might of Menethil</t>
  </si>
  <si>
    <t>The Eye of Nerub</t>
  </si>
  <si>
    <t>Claymore of Unholy Might</t>
  </si>
  <si>
    <t>Corrupted Ashbringer</t>
  </si>
  <si>
    <t>Nerubian Slavemaker</t>
  </si>
  <si>
    <t>Kiss of the Spider</t>
  </si>
  <si>
    <t>Slayer's Crest</t>
  </si>
  <si>
    <t>Band of Unnatural Forces</t>
  </si>
  <si>
    <t>Titanic Leggings</t>
  </si>
  <si>
    <t>Legplates of Carnage</t>
  </si>
  <si>
    <t>Wristguards of Vengeance</t>
  </si>
  <si>
    <t>Plated Abomination Ribcage</t>
  </si>
  <si>
    <t>Shroud of Dominion</t>
  </si>
  <si>
    <t>Stormrage's Talisman of Seething</t>
  </si>
  <si>
    <t>Added realm selection.</t>
  </si>
  <si>
    <t>Spreadsheet</t>
  </si>
  <si>
    <t>Light's Hope</t>
  </si>
  <si>
    <t>miss</t>
  </si>
  <si>
    <t>crit</t>
  </si>
  <si>
    <t>dodge</t>
  </si>
  <si>
    <t>glancing</t>
  </si>
  <si>
    <t>hit</t>
  </si>
  <si>
    <t>MH x2</t>
  </si>
  <si>
    <t>OH x2</t>
  </si>
  <si>
    <t>Avg speed for execute</t>
  </si>
  <si>
    <t>Blooddrenched Footpads</t>
  </si>
  <si>
    <t>Added Blooddrenched Footpads.</t>
  </si>
  <si>
    <t>Removed dodges from Overpower attack table.</t>
  </si>
  <si>
    <t>Felstriker White Attack Table</t>
  </si>
  <si>
    <t>Felstriker OH Attack Table</t>
  </si>
  <si>
    <t>Felstriker Yellow Attack Table</t>
  </si>
  <si>
    <t>Circlet of Restless Dreams</t>
  </si>
  <si>
    <t>Added Eskhandar's Right Claw proc.</t>
  </si>
  <si>
    <t>Added Flurry formula for Kronos.</t>
  </si>
  <si>
    <t>Reverted Empyrean Demolisher to 1 PPM. (Light's Hope)</t>
  </si>
  <si>
    <t>Added Circlet of Restless Dreams.</t>
  </si>
  <si>
    <t>Berserking</t>
  </si>
  <si>
    <t>Fight Stats</t>
  </si>
  <si>
    <t>Berserking Health %</t>
  </si>
  <si>
    <t>Added Berserking.</t>
  </si>
  <si>
    <t>Ghoul Skin Tunic</t>
  </si>
  <si>
    <t>Belt of Preserved Heads</t>
  </si>
  <si>
    <t>MH Swings/s</t>
  </si>
  <si>
    <t>MH Connects/s</t>
  </si>
  <si>
    <t>Added a maximum cap of 100 rage to execute and simplified the formula.</t>
  </si>
  <si>
    <t>Fixed errors caused by Essence of the Red and Fungal Bloom.</t>
  </si>
  <si>
    <t>Implemented progressive itemization. Users can choose the realm and the realm specific patch automatically determines item stats.</t>
  </si>
  <si>
    <t>Fixed Felstriker formulas for white and yellow attacks.</t>
  </si>
  <si>
    <t>Changed Heroic Strike, Cleave and Slam formulas to be more efficient in calculation speed.</t>
  </si>
  <si>
    <t>Berserking Haste</t>
  </si>
  <si>
    <t>Main Hand %</t>
  </si>
  <si>
    <t>Improved BRE formula to take into account multiple stacks.</t>
  </si>
  <si>
    <t>Boss Specific Buffs</t>
  </si>
  <si>
    <t>Added Crystal Yield. Doesn't stack with Sunder Armor on Light's Hope, stacks with Sunder Armor on Kronos.</t>
  </si>
  <si>
    <t>Proc Rates</t>
  </si>
  <si>
    <t>Earthweave Cloak</t>
  </si>
  <si>
    <t>Therazane's Link</t>
  </si>
  <si>
    <t>v3.1.1</t>
  </si>
  <si>
    <t>Added Therazane's Link and Earthweave Cloak.</t>
  </si>
  <si>
    <t>Improved Flurry and Execute formulas.</t>
  </si>
  <si>
    <t>Select your realm from the dropdown menu.</t>
  </si>
  <si>
    <t>Change fight specific details such as boss level, boss armor and fight duration here.</t>
  </si>
  <si>
    <t>You can choose all your buffs and consumables here. Make sure to follow buff stacking rules.</t>
  </si>
  <si>
    <t>v3.1.2</t>
  </si>
  <si>
    <t>Fixed OH attacks affecting 2h flurry calculation.</t>
  </si>
  <si>
    <t>v3.1.3</t>
  </si>
  <si>
    <t>Fixed Overpower formula, it was taking damage modifiers into account twice.</t>
  </si>
  <si>
    <t>Readjusted Flurry formula for Light's Hope. Now misses and dodges also spend flurry charges.</t>
  </si>
  <si>
    <t>Changed Thunderfury proc chance to 20% (Light's Hope).</t>
  </si>
  <si>
    <t>Changed Darrowshire patch to 1.10.</t>
  </si>
  <si>
    <t>v3.2</t>
  </si>
  <si>
    <t>Fixed small rounding errors for Jom Gabbar and Badge of the Swarmguard.</t>
  </si>
  <si>
    <t>Fixed Expert Goldminer's Helmet giving twice the weapon skill it should for main hand.</t>
  </si>
  <si>
    <t>Updated default configuration to AQ40 patch.</t>
  </si>
  <si>
    <t>Northdale</t>
  </si>
  <si>
    <t>v3.3</t>
  </si>
  <si>
    <t>Added Northdale and Kronos III realms.</t>
  </si>
  <si>
    <t>Updated default configuration to Naxxramas patch.</t>
  </si>
  <si>
    <t>Updated Kronos glancing blow formula.</t>
  </si>
  <si>
    <t>Fixed Nightfall weapon speed for patch 1.12.</t>
  </si>
  <si>
    <t>Expose Armor</t>
  </si>
  <si>
    <t>Sunder Armor</t>
  </si>
  <si>
    <t>Replaced Crystal Yield with Expose Armor.</t>
  </si>
  <si>
    <t>Vanilla Warrior Discord</t>
  </si>
  <si>
    <t>v3.3.1</t>
  </si>
  <si>
    <t>Reverted change to hit chance formula for Light's Hope.</t>
  </si>
  <si>
    <t>v3.3.2</t>
  </si>
  <si>
    <t>Reverted progressive PvP itemization for Kronos.</t>
  </si>
  <si>
    <t>Windreaver Greaves</t>
  </si>
  <si>
    <t>Updated default configuration to Northdale.</t>
  </si>
  <si>
    <t>v3.3.3</t>
  </si>
  <si>
    <t>Added patch dependent attack speed to Vis'Kag.</t>
  </si>
  <si>
    <t>Updated Northdale patch to 1.3.</t>
  </si>
  <si>
    <t>v3.4</t>
  </si>
  <si>
    <t>Fixed weapon enchant dps formula for 2h.</t>
  </si>
  <si>
    <t>v3.4.1</t>
  </si>
  <si>
    <t>Fixed -3 rage cost to hamstring with R7/R12 gauntlets.</t>
  </si>
  <si>
    <t>Updated UTB proc rate to 2 PPM for Lights Hope.</t>
  </si>
  <si>
    <t>Updated Northdale patch to 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</si>
</sst>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0"/>
  </numFmts>
  <fonts count="39" x14ac:knownFonts="1">
    <font>
      <sz val="10"/>
      <name val="Arial"/>
    </font>
    <font>
      <b/>
      <sz val="8"/>
      <name val="Arial"/>
      <family val="2"/>
    </font>
    <font>
      <sz val="8"/>
      <name val="Arial"/>
      <family val="2"/>
    </font>
    <font>
      <sz val="8"/>
      <name val="Arial"/>
      <family val="2"/>
      <charset val="186"/>
    </font>
    <font>
      <b/>
      <sz val="10"/>
      <name val="Arial"/>
      <family val="2"/>
    </font>
    <font>
      <sz val="10"/>
      <name val="Arial"/>
      <family val="2"/>
    </font>
    <font>
      <b/>
      <u/>
      <sz val="10"/>
      <name val="Arial"/>
      <family val="2"/>
    </font>
    <font>
      <sz val="8"/>
      <color indexed="9"/>
      <name val="Arial"/>
      <family val="2"/>
    </font>
    <font>
      <b/>
      <sz val="8"/>
      <name val="Arial"/>
      <family val="2"/>
      <charset val="186"/>
    </font>
    <font>
      <sz val="10"/>
      <name val="Arial"/>
      <family val="2"/>
      <charset val="186"/>
    </font>
    <font>
      <b/>
      <sz val="10"/>
      <name val="Arial"/>
      <family val="2"/>
      <charset val="186"/>
    </font>
    <font>
      <b/>
      <u/>
      <sz val="10"/>
      <name val="Arial"/>
      <family val="2"/>
      <charset val="186"/>
    </font>
    <font>
      <sz val="8"/>
      <color theme="0"/>
      <name val="Arial"/>
      <family val="2"/>
    </font>
    <font>
      <sz val="10"/>
      <name val="Arial"/>
      <family val="2"/>
      <charset val="186"/>
    </font>
    <font>
      <sz val="24"/>
      <color theme="0"/>
      <name val="Arial"/>
      <family val="2"/>
      <charset val="186"/>
    </font>
    <font>
      <b/>
      <sz val="10"/>
      <color theme="1"/>
      <name val="Arial"/>
      <family val="2"/>
      <charset val="186"/>
    </font>
    <font>
      <sz val="18"/>
      <name val="Arial"/>
      <family val="2"/>
      <charset val="186"/>
    </font>
    <font>
      <sz val="24"/>
      <name val="Arial"/>
      <family val="2"/>
      <charset val="186"/>
    </font>
    <font>
      <sz val="10"/>
      <color theme="0"/>
      <name val="Arial"/>
      <family val="2"/>
      <charset val="186"/>
    </font>
    <font>
      <b/>
      <sz val="8"/>
      <color theme="1"/>
      <name val="Arial"/>
      <family val="2"/>
    </font>
    <font>
      <sz val="8"/>
      <color theme="1"/>
      <name val="Arial"/>
      <family val="2"/>
    </font>
    <font>
      <b/>
      <sz val="8"/>
      <color theme="1"/>
      <name val="Arial"/>
      <family val="2"/>
      <charset val="186"/>
    </font>
    <font>
      <sz val="8"/>
      <color theme="1"/>
      <name val="Arial"/>
      <family val="2"/>
      <charset val="186"/>
    </font>
    <font>
      <b/>
      <sz val="12"/>
      <name val="Arial"/>
      <family val="2"/>
    </font>
    <font>
      <sz val="8"/>
      <color theme="6" tint="0.39997558519241921"/>
      <name val="Arial"/>
      <family val="2"/>
    </font>
    <font>
      <sz val="18"/>
      <name val="Arial"/>
      <family val="2"/>
    </font>
    <font>
      <b/>
      <sz val="8"/>
      <color rgb="FFC00000"/>
      <name val="Arial"/>
      <family val="2"/>
      <charset val="186"/>
    </font>
    <font>
      <sz val="12"/>
      <name val="Arial"/>
      <family val="2"/>
    </font>
    <font>
      <b/>
      <sz val="12"/>
      <color rgb="FFC00000"/>
      <name val="Arial"/>
      <family val="2"/>
    </font>
    <font>
      <sz val="12"/>
      <color theme="1"/>
      <name val="Arial"/>
      <family val="2"/>
      <charset val="186"/>
    </font>
    <font>
      <u/>
      <sz val="10"/>
      <color theme="10"/>
      <name val="Arial"/>
      <family val="2"/>
      <charset val="186"/>
    </font>
    <font>
      <u/>
      <sz val="24"/>
      <color theme="10"/>
      <name val="Arial"/>
      <family val="2"/>
      <charset val="186"/>
    </font>
    <font>
      <i/>
      <sz val="8"/>
      <color theme="1"/>
      <name val="Arial"/>
      <family val="2"/>
      <charset val="186"/>
    </font>
    <font>
      <i/>
      <sz val="8"/>
      <color rgb="FFC00000"/>
      <name val="Arial"/>
      <family val="2"/>
      <charset val="186"/>
    </font>
    <font>
      <i/>
      <sz val="12"/>
      <color rgb="FFC00000"/>
      <name val="Arial"/>
      <family val="2"/>
      <charset val="186"/>
    </font>
    <font>
      <sz val="8"/>
      <color theme="8" tint="0.79998168889431442"/>
      <name val="Arial"/>
      <family val="2"/>
      <charset val="186"/>
    </font>
    <font>
      <sz val="8"/>
      <color theme="8" tint="0.79998168889431442"/>
      <name val="Arial"/>
      <family val="2"/>
    </font>
    <font>
      <b/>
      <sz val="10"/>
      <color rgb="FFC00000"/>
      <name val="Arial"/>
      <family val="2"/>
      <charset val="186"/>
    </font>
    <font>
      <u/>
      <sz val="12"/>
      <color theme="10"/>
      <name val="Arial"/>
      <family val="2"/>
    </font>
  </fonts>
  <fills count="12">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theme="1"/>
        <bgColor indexed="64"/>
      </patternFill>
    </fill>
    <fill>
      <patternFill patternType="solid">
        <fgColor rgb="FFC79C6E"/>
        <bgColor indexed="64"/>
      </patternFill>
    </fill>
    <fill>
      <patternFill patternType="solid">
        <fgColor theme="8" tint="0.79998168889431442"/>
        <bgColor indexed="64"/>
      </patternFill>
    </fill>
    <fill>
      <patternFill patternType="solid">
        <fgColor rgb="FF0BC7F3"/>
        <bgColor indexed="64"/>
      </patternFill>
    </fill>
    <fill>
      <patternFill patternType="solid">
        <fgColor theme="6" tint="0.39997558519241921"/>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style="thin">
        <color theme="1"/>
      </right>
      <top/>
      <bottom style="thin">
        <color theme="1"/>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style="thin">
        <color theme="1"/>
      </left>
      <right/>
      <top/>
      <bottom style="thin">
        <color theme="1"/>
      </bottom>
      <diagonal/>
    </border>
    <border>
      <left/>
      <right/>
      <top/>
      <bottom style="thin">
        <color theme="1"/>
      </bottom>
      <diagonal/>
    </border>
    <border>
      <left/>
      <right style="thin">
        <color theme="1"/>
      </right>
      <top/>
      <bottom style="thin">
        <color theme="1"/>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9" fontId="13" fillId="0" borderId="0" applyFont="0" applyFill="0" applyBorder="0" applyAlignment="0" applyProtection="0"/>
    <xf numFmtId="0" fontId="30" fillId="0" borderId="0" applyNumberFormat="0" applyFill="0" applyBorder="0" applyAlignment="0" applyProtection="0"/>
  </cellStyleXfs>
  <cellXfs count="178">
    <xf numFmtId="0" fontId="0" fillId="0" borderId="0" xfId="0"/>
    <xf numFmtId="0" fontId="1" fillId="0" borderId="0" xfId="0" applyFont="1"/>
    <xf numFmtId="0" fontId="2" fillId="0" borderId="0" xfId="0" applyFont="1"/>
    <xf numFmtId="0" fontId="4" fillId="0" borderId="0" xfId="0" applyFont="1"/>
    <xf numFmtId="0" fontId="5" fillId="0" borderId="0" xfId="0" applyFont="1"/>
    <xf numFmtId="0" fontId="2" fillId="0" borderId="0" xfId="0" applyFont="1" applyFill="1"/>
    <xf numFmtId="0" fontId="6" fillId="0" borderId="0" xfId="0" applyFont="1"/>
    <xf numFmtId="0" fontId="6" fillId="0" borderId="0" xfId="0" applyFont="1" applyFill="1"/>
    <xf numFmtId="9" fontId="4" fillId="0" borderId="0" xfId="0" applyNumberFormat="1" applyFont="1"/>
    <xf numFmtId="0" fontId="8" fillId="0" borderId="0" xfId="0" applyFont="1"/>
    <xf numFmtId="14" fontId="2" fillId="0" borderId="0" xfId="0" applyNumberFormat="1" applyFont="1"/>
    <xf numFmtId="0" fontId="9" fillId="0" borderId="0" xfId="0" applyFont="1"/>
    <xf numFmtId="0" fontId="10" fillId="0" borderId="0" xfId="0" applyFont="1"/>
    <xf numFmtId="0" fontId="11" fillId="0" borderId="0" xfId="0" applyFont="1"/>
    <xf numFmtId="0" fontId="3" fillId="0" borderId="0" xfId="0" applyFont="1"/>
    <xf numFmtId="14" fontId="3" fillId="0" borderId="0" xfId="0" applyNumberFormat="1" applyFont="1"/>
    <xf numFmtId="10" fontId="0" fillId="0" borderId="0" xfId="1" applyNumberFormat="1" applyFont="1"/>
    <xf numFmtId="0" fontId="0" fillId="7" borderId="0" xfId="0" applyFill="1"/>
    <xf numFmtId="0" fontId="10" fillId="7" borderId="0" xfId="0" applyFont="1" applyFill="1"/>
    <xf numFmtId="0" fontId="4" fillId="6" borderId="1" xfId="0" applyFont="1" applyFill="1" applyBorder="1"/>
    <xf numFmtId="0" fontId="0" fillId="6" borderId="1" xfId="0" applyFill="1" applyBorder="1"/>
    <xf numFmtId="0" fontId="9" fillId="4" borderId="1" xfId="0" applyFont="1" applyFill="1" applyBorder="1"/>
    <xf numFmtId="0" fontId="4" fillId="5" borderId="1" xfId="0" applyFont="1" applyFill="1" applyBorder="1"/>
    <xf numFmtId="0" fontId="0" fillId="7" borderId="1" xfId="0" applyFill="1" applyBorder="1"/>
    <xf numFmtId="0" fontId="9" fillId="7" borderId="1" xfId="0" applyFont="1" applyFill="1" applyBorder="1"/>
    <xf numFmtId="0" fontId="4" fillId="5" borderId="4" xfId="0" applyFont="1" applyFill="1" applyBorder="1"/>
    <xf numFmtId="0" fontId="9" fillId="4" borderId="4" xfId="0" applyFont="1" applyFill="1" applyBorder="1"/>
    <xf numFmtId="0" fontId="0" fillId="4" borderId="4" xfId="0" applyFill="1" applyBorder="1"/>
    <xf numFmtId="0" fontId="0" fillId="4" borderId="6" xfId="0" applyFill="1" applyBorder="1"/>
    <xf numFmtId="0" fontId="0" fillId="4" borderId="5" xfId="0" applyFill="1" applyBorder="1"/>
    <xf numFmtId="0" fontId="9" fillId="4" borderId="5" xfId="0" applyFont="1" applyFill="1" applyBorder="1"/>
    <xf numFmtId="0" fontId="0" fillId="5" borderId="11" xfId="0" applyFill="1" applyBorder="1"/>
    <xf numFmtId="0" fontId="0" fillId="5" borderId="12" xfId="0" applyFill="1" applyBorder="1"/>
    <xf numFmtId="0" fontId="10" fillId="5" borderId="13" xfId="0" applyFont="1" applyFill="1" applyBorder="1"/>
    <xf numFmtId="0" fontId="0" fillId="5" borderId="0" xfId="0" applyFill="1" applyBorder="1"/>
    <xf numFmtId="0" fontId="0" fillId="5" borderId="14" xfId="0" applyFill="1" applyBorder="1"/>
    <xf numFmtId="0" fontId="0" fillId="5" borderId="15" xfId="0" quotePrefix="1" applyFill="1" applyBorder="1"/>
    <xf numFmtId="0" fontId="0" fillId="5" borderId="16" xfId="0" applyFill="1" applyBorder="1"/>
    <xf numFmtId="0" fontId="0" fillId="5" borderId="17" xfId="0" applyFill="1" applyBorder="1"/>
    <xf numFmtId="0" fontId="0" fillId="5" borderId="10" xfId="0" quotePrefix="1" applyFill="1" applyBorder="1"/>
    <xf numFmtId="0" fontId="18" fillId="5" borderId="10" xfId="0" quotePrefix="1" applyFont="1" applyFill="1" applyBorder="1"/>
    <xf numFmtId="0" fontId="15" fillId="5" borderId="13" xfId="0" applyFont="1" applyFill="1" applyBorder="1"/>
    <xf numFmtId="0" fontId="18" fillId="5" borderId="15" xfId="0" quotePrefix="1" applyFont="1" applyFill="1" applyBorder="1"/>
    <xf numFmtId="0" fontId="9" fillId="5" borderId="10" xfId="0" quotePrefix="1" applyFont="1" applyFill="1" applyBorder="1"/>
    <xf numFmtId="0" fontId="9" fillId="4" borderId="2" xfId="0" applyFont="1" applyFill="1" applyBorder="1"/>
    <xf numFmtId="0" fontId="4" fillId="6" borderId="2" xfId="0" applyFont="1" applyFill="1" applyBorder="1"/>
    <xf numFmtId="0" fontId="9" fillId="4" borderId="18" xfId="0" applyFont="1" applyFill="1" applyBorder="1"/>
    <xf numFmtId="0" fontId="0" fillId="6" borderId="18" xfId="0" applyFill="1" applyBorder="1"/>
    <xf numFmtId="0" fontId="9" fillId="5" borderId="15" xfId="0" quotePrefix="1" applyFont="1" applyFill="1" applyBorder="1"/>
    <xf numFmtId="0" fontId="0" fillId="6" borderId="2" xfId="0" applyFill="1" applyBorder="1"/>
    <xf numFmtId="0" fontId="0" fillId="6" borderId="4" xfId="0" applyFill="1" applyBorder="1"/>
    <xf numFmtId="0" fontId="0" fillId="6" borderId="5" xfId="0" applyFill="1" applyBorder="1"/>
    <xf numFmtId="0" fontId="0" fillId="6" borderId="6" xfId="0" applyFill="1" applyBorder="1"/>
    <xf numFmtId="0" fontId="8" fillId="2" borderId="0" xfId="0" applyFont="1" applyFill="1" applyBorder="1" applyAlignment="1">
      <alignment horizontal="right"/>
    </xf>
    <xf numFmtId="0" fontId="22" fillId="2" borderId="0" xfId="0" applyFont="1" applyFill="1" applyBorder="1"/>
    <xf numFmtId="0" fontId="8" fillId="2" borderId="0" xfId="0" applyFont="1" applyFill="1" applyBorder="1" applyAlignment="1">
      <alignment horizontal="left"/>
    </xf>
    <xf numFmtId="0" fontId="1" fillId="2" borderId="0" xfId="0" applyFont="1" applyFill="1" applyBorder="1" applyAlignment="1">
      <alignment horizontal="right"/>
    </xf>
    <xf numFmtId="0" fontId="2" fillId="2" borderId="0" xfId="0" applyFont="1" applyFill="1"/>
    <xf numFmtId="0" fontId="2" fillId="2" borderId="0" xfId="0" applyFont="1" applyFill="1" applyBorder="1"/>
    <xf numFmtId="0" fontId="8" fillId="2" borderId="0" xfId="0" applyFont="1" applyFill="1"/>
    <xf numFmtId="0" fontId="1" fillId="2" borderId="0" xfId="0" applyFont="1" applyFill="1"/>
    <xf numFmtId="0" fontId="1" fillId="2" borderId="0" xfId="0" applyFont="1" applyFill="1" applyAlignment="1">
      <alignment horizontal="left"/>
    </xf>
    <xf numFmtId="0" fontId="8" fillId="2" borderId="0" xfId="0" applyFont="1" applyFill="1" applyAlignment="1">
      <alignment horizontal="left"/>
    </xf>
    <xf numFmtId="0" fontId="7" fillId="2" borderId="0" xfId="0" applyFont="1" applyFill="1"/>
    <xf numFmtId="0" fontId="12" fillId="2" borderId="0" xfId="0" applyFont="1" applyFill="1"/>
    <xf numFmtId="0" fontId="2" fillId="2" borderId="0" xfId="0" applyNumberFormat="1" applyFont="1" applyFill="1"/>
    <xf numFmtId="10" fontId="2" fillId="2" borderId="0" xfId="1" applyNumberFormat="1" applyFont="1" applyFill="1"/>
    <xf numFmtId="0" fontId="2" fillId="2" borderId="0" xfId="0" applyFont="1" applyFill="1" applyAlignment="1">
      <alignment horizontal="right"/>
    </xf>
    <xf numFmtId="49" fontId="8" fillId="2" borderId="0" xfId="0" applyNumberFormat="1" applyFont="1" applyFill="1"/>
    <xf numFmtId="0" fontId="1" fillId="2" borderId="0" xfId="0" applyFont="1" applyFill="1" applyAlignment="1">
      <alignment horizontal="right"/>
    </xf>
    <xf numFmtId="0" fontId="19" fillId="2" borderId="0" xfId="0" applyFont="1" applyFill="1" applyBorder="1"/>
    <xf numFmtId="0" fontId="19" fillId="2" borderId="0" xfId="0" applyFont="1" applyFill="1" applyBorder="1" applyAlignment="1">
      <alignment horizontal="right"/>
    </xf>
    <xf numFmtId="0" fontId="19" fillId="2" borderId="0" xfId="0" applyFont="1" applyFill="1" applyBorder="1" applyAlignment="1">
      <alignment horizontal="left"/>
    </xf>
    <xf numFmtId="0" fontId="20" fillId="2" borderId="0" xfId="0" applyFont="1" applyFill="1" applyBorder="1"/>
    <xf numFmtId="0" fontId="8" fillId="2" borderId="0" xfId="0" applyFont="1" applyFill="1" applyBorder="1"/>
    <xf numFmtId="0" fontId="1" fillId="2" borderId="0" xfId="0" applyFont="1" applyFill="1" applyBorder="1" applyAlignment="1">
      <alignment horizontal="left"/>
    </xf>
    <xf numFmtId="0" fontId="7" fillId="2" borderId="0" xfId="0" applyFont="1" applyFill="1" applyBorder="1"/>
    <xf numFmtId="0" fontId="22" fillId="2" borderId="0" xfId="0" applyFont="1" applyFill="1" applyBorder="1" applyAlignment="1">
      <alignment horizontal="left"/>
    </xf>
    <xf numFmtId="0" fontId="22" fillId="2" borderId="0" xfId="0" applyFont="1" applyFill="1" applyBorder="1" applyAlignment="1">
      <alignment horizontal="right"/>
    </xf>
    <xf numFmtId="0" fontId="24" fillId="2" borderId="0" xfId="0" applyFont="1" applyFill="1"/>
    <xf numFmtId="0" fontId="12" fillId="2" borderId="0" xfId="0" applyFont="1" applyFill="1" applyBorder="1"/>
    <xf numFmtId="0" fontId="3" fillId="2" borderId="0" xfId="0" applyFont="1" applyFill="1" applyBorder="1" applyAlignment="1">
      <alignment horizontal="left"/>
    </xf>
    <xf numFmtId="0" fontId="26" fillId="2" borderId="0" xfId="0" applyFont="1" applyFill="1" applyBorder="1"/>
    <xf numFmtId="0" fontId="26" fillId="2" borderId="0" xfId="0" applyFont="1" applyFill="1" applyBorder="1" applyAlignment="1">
      <alignment horizontal="left"/>
    </xf>
    <xf numFmtId="0" fontId="26" fillId="2" borderId="0" xfId="0" applyNumberFormat="1" applyFont="1" applyFill="1" applyBorder="1"/>
    <xf numFmtId="0" fontId="27" fillId="0" borderId="0" xfId="0" applyFont="1"/>
    <xf numFmtId="0" fontId="23" fillId="8" borderId="4" xfId="0" applyFont="1" applyFill="1" applyBorder="1" applyAlignment="1">
      <alignment horizontal="center"/>
    </xf>
    <xf numFmtId="0" fontId="28" fillId="0" borderId="0" xfId="0" applyFont="1" applyAlignment="1">
      <alignment horizontal="left"/>
    </xf>
    <xf numFmtId="0" fontId="31" fillId="0" borderId="0" xfId="2" applyFont="1"/>
    <xf numFmtId="0" fontId="32" fillId="2" borderId="0" xfId="0" applyFont="1" applyFill="1" applyBorder="1"/>
    <xf numFmtId="0" fontId="32" fillId="2" borderId="0" xfId="0" applyFont="1" applyFill="1" applyBorder="1" applyAlignment="1">
      <alignment horizontal="left"/>
    </xf>
    <xf numFmtId="0" fontId="33" fillId="2" borderId="0" xfId="0" applyFont="1" applyFill="1" applyBorder="1"/>
    <xf numFmtId="0" fontId="33" fillId="2" borderId="0" xfId="0" applyFont="1" applyFill="1" applyBorder="1" applyAlignment="1">
      <alignment horizontal="left"/>
    </xf>
    <xf numFmtId="0" fontId="21" fillId="2" borderId="0" xfId="0" applyFont="1" applyFill="1" applyBorder="1" applyAlignment="1">
      <alignment horizontal="right"/>
    </xf>
    <xf numFmtId="0" fontId="22" fillId="9" borderId="0" xfId="0" applyFont="1" applyFill="1" applyBorder="1" applyAlignment="1">
      <alignment horizontal="left"/>
    </xf>
    <xf numFmtId="0" fontId="26" fillId="9" borderId="0" xfId="0" applyFont="1" applyFill="1" applyBorder="1"/>
    <xf numFmtId="0" fontId="22" fillId="9" borderId="0" xfId="0" applyFont="1" applyFill="1" applyBorder="1"/>
    <xf numFmtId="0" fontId="22" fillId="9" borderId="0" xfId="0" applyFont="1" applyFill="1" applyBorder="1" applyAlignment="1">
      <alignment horizontal="right"/>
    </xf>
    <xf numFmtId="0" fontId="32" fillId="9" borderId="0" xfId="0" applyFont="1" applyFill="1" applyBorder="1" applyAlignment="1">
      <alignment horizontal="left"/>
    </xf>
    <xf numFmtId="0" fontId="33" fillId="9" borderId="0" xfId="0" applyFont="1" applyFill="1" applyBorder="1"/>
    <xf numFmtId="0" fontId="22" fillId="9" borderId="16" xfId="0" applyFont="1" applyFill="1" applyBorder="1" applyAlignment="1">
      <alignment horizontal="left"/>
    </xf>
    <xf numFmtId="0" fontId="22" fillId="9" borderId="16" xfId="0" applyFont="1" applyFill="1" applyBorder="1"/>
    <xf numFmtId="0" fontId="1" fillId="9" borderId="0" xfId="0" applyFont="1" applyFill="1" applyBorder="1" applyAlignment="1">
      <alignment horizontal="left"/>
    </xf>
    <xf numFmtId="0" fontId="2" fillId="9" borderId="0" xfId="0" applyFont="1" applyFill="1" applyBorder="1"/>
    <xf numFmtId="164" fontId="8" fillId="10" borderId="2" xfId="0" applyNumberFormat="1" applyFont="1" applyFill="1" applyBorder="1" applyAlignment="1">
      <alignment horizontal="right"/>
    </xf>
    <xf numFmtId="164" fontId="8" fillId="10" borderId="19" xfId="0" applyNumberFormat="1" applyFont="1" applyFill="1" applyBorder="1" applyAlignment="1">
      <alignment horizontal="right"/>
    </xf>
    <xf numFmtId="164" fontId="8" fillId="10" borderId="18" xfId="0" applyNumberFormat="1" applyFont="1" applyFill="1" applyBorder="1" applyAlignment="1">
      <alignment horizontal="right"/>
    </xf>
    <xf numFmtId="0" fontId="8" fillId="10" borderId="2" xfId="0" applyFont="1" applyFill="1" applyBorder="1" applyAlignment="1">
      <alignment horizontal="right"/>
    </xf>
    <xf numFmtId="0" fontId="8" fillId="10" borderId="19" xfId="0" applyFont="1" applyFill="1" applyBorder="1" applyAlignment="1">
      <alignment horizontal="right"/>
    </xf>
    <xf numFmtId="0" fontId="8" fillId="10" borderId="18" xfId="0" applyFont="1" applyFill="1" applyBorder="1" applyAlignment="1">
      <alignment horizontal="right"/>
    </xf>
    <xf numFmtId="0" fontId="35" fillId="9" borderId="16" xfId="0" applyFont="1" applyFill="1" applyBorder="1"/>
    <xf numFmtId="0" fontId="36" fillId="9" borderId="0" xfId="0" applyFont="1" applyFill="1" applyBorder="1"/>
    <xf numFmtId="0" fontId="8" fillId="0" borderId="0" xfId="0" applyFont="1" applyAlignment="1">
      <alignment horizontal="right"/>
    </xf>
    <xf numFmtId="9" fontId="1" fillId="2" borderId="0" xfId="0" applyNumberFormat="1" applyFont="1" applyFill="1" applyAlignment="1">
      <alignment horizontal="right"/>
    </xf>
    <xf numFmtId="0" fontId="9" fillId="0" borderId="0" xfId="0" applyFont="1" applyAlignment="1">
      <alignment horizontal="right"/>
    </xf>
    <xf numFmtId="0" fontId="10" fillId="0" borderId="0" xfId="0" applyFont="1" applyAlignment="1">
      <alignment horizontal="right"/>
    </xf>
    <xf numFmtId="2" fontId="2" fillId="0" borderId="0" xfId="0" applyNumberFormat="1" applyFont="1"/>
    <xf numFmtId="164" fontId="2" fillId="2" borderId="0" xfId="0" applyNumberFormat="1" applyFont="1" applyFill="1"/>
    <xf numFmtId="2" fontId="2" fillId="2" borderId="0" xfId="0" applyNumberFormat="1" applyFont="1" applyFill="1"/>
    <xf numFmtId="0" fontId="0" fillId="11" borderId="0" xfId="0" applyFill="1"/>
    <xf numFmtId="0" fontId="16" fillId="0" borderId="0" xfId="0" applyFont="1" applyAlignment="1"/>
    <xf numFmtId="0" fontId="0" fillId="0" borderId="0" xfId="0" applyAlignment="1"/>
    <xf numFmtId="0" fontId="37" fillId="0" borderId="0" xfId="0" applyFont="1"/>
    <xf numFmtId="0" fontId="37" fillId="0" borderId="0" xfId="0" applyFont="1" applyAlignment="1">
      <alignment horizontal="right"/>
    </xf>
    <xf numFmtId="0" fontId="0" fillId="0" borderId="3" xfId="0" applyBorder="1"/>
    <xf numFmtId="0" fontId="9" fillId="0" borderId="3" xfId="0" applyFont="1" applyBorder="1"/>
    <xf numFmtId="0" fontId="0" fillId="2" borderId="0" xfId="0" applyFill="1"/>
    <xf numFmtId="0" fontId="9" fillId="11" borderId="0" xfId="0" applyFont="1" applyFill="1"/>
    <xf numFmtId="0" fontId="9" fillId="11" borderId="0" xfId="0" applyFont="1" applyFill="1" applyAlignment="1">
      <alignment horizontal="right"/>
    </xf>
    <xf numFmtId="0" fontId="10" fillId="11" borderId="0" xfId="0" applyFont="1" applyFill="1"/>
    <xf numFmtId="0" fontId="10" fillId="11" borderId="0" xfId="0" applyFont="1" applyFill="1" applyAlignment="1">
      <alignment horizontal="right"/>
    </xf>
    <xf numFmtId="0" fontId="0" fillId="11" borderId="3" xfId="0" applyFill="1" applyBorder="1"/>
    <xf numFmtId="0" fontId="9" fillId="0" borderId="0" xfId="0" applyFont="1" applyBorder="1"/>
    <xf numFmtId="0" fontId="0" fillId="0" borderId="0" xfId="0" applyBorder="1"/>
    <xf numFmtId="0" fontId="26" fillId="9" borderId="16" xfId="0" applyFont="1" applyFill="1" applyBorder="1"/>
    <xf numFmtId="0" fontId="26" fillId="9" borderId="16" xfId="0" applyFont="1" applyFill="1" applyBorder="1" applyAlignment="1">
      <alignment horizontal="right"/>
    </xf>
    <xf numFmtId="0" fontId="38" fillId="0" borderId="0" xfId="2" applyFont="1"/>
    <xf numFmtId="0" fontId="9" fillId="2" borderId="0" xfId="0" applyFont="1" applyFill="1"/>
    <xf numFmtId="0" fontId="9" fillId="2" borderId="0" xfId="0" applyFont="1" applyFill="1" applyAlignment="1">
      <alignment horizontal="right"/>
    </xf>
    <xf numFmtId="0" fontId="10" fillId="2" borderId="0" xfId="0" applyFont="1" applyFill="1"/>
    <xf numFmtId="0" fontId="17" fillId="7" borderId="0" xfId="0" applyFont="1" applyFill="1" applyAlignment="1">
      <alignment horizontal="center"/>
    </xf>
    <xf numFmtId="0" fontId="0" fillId="0" borderId="0" xfId="0" applyNumberFormat="1"/>
    <xf numFmtId="0" fontId="0" fillId="0" borderId="0" xfId="0" applyAlignment="1">
      <alignment horizontal="right"/>
    </xf>
    <xf numFmtId="0" fontId="17" fillId="7" borderId="0" xfId="0" applyFont="1" applyFill="1" applyAlignment="1">
      <alignment horizontal="center"/>
    </xf>
    <xf numFmtId="0" fontId="9" fillId="6" borderId="1" xfId="0" applyFont="1" applyFill="1" applyBorder="1"/>
    <xf numFmtId="0" fontId="9" fillId="7" borderId="1" xfId="0" applyFont="1" applyFill="1" applyBorder="1" applyAlignment="1">
      <alignment horizontal="left" vertical="top"/>
    </xf>
    <xf numFmtId="0" fontId="0" fillId="7" borderId="1" xfId="0" applyFill="1" applyBorder="1" applyAlignment="1">
      <alignment vertical="top"/>
    </xf>
    <xf numFmtId="0" fontId="8" fillId="3" borderId="9" xfId="0" applyFont="1" applyFill="1" applyBorder="1" applyAlignment="1">
      <alignment horizontal="center"/>
    </xf>
    <xf numFmtId="0" fontId="8" fillId="3" borderId="8" xfId="0" applyFont="1" applyFill="1" applyBorder="1" applyAlignment="1">
      <alignment horizontal="center"/>
    </xf>
    <xf numFmtId="0" fontId="26" fillId="2" borderId="0" xfId="1" applyNumberFormat="1" applyFont="1" applyFill="1" applyAlignment="1">
      <alignment horizontal="right"/>
    </xf>
    <xf numFmtId="0" fontId="16" fillId="8" borderId="21" xfId="0" applyFont="1" applyFill="1" applyBorder="1" applyAlignment="1">
      <alignment horizontal="left" indent="23"/>
    </xf>
    <xf numFmtId="0" fontId="16" fillId="8" borderId="22" xfId="0" applyFont="1" applyFill="1" applyBorder="1" applyAlignment="1">
      <alignment horizontal="left" indent="23"/>
    </xf>
    <xf numFmtId="0" fontId="16" fillId="8" borderId="3" xfId="0" applyFont="1" applyFill="1" applyBorder="1" applyAlignment="1">
      <alignment horizontal="left" indent="23"/>
    </xf>
    <xf numFmtId="0" fontId="16" fillId="8" borderId="24" xfId="0" applyFont="1" applyFill="1" applyBorder="1" applyAlignment="1">
      <alignment horizontal="left" indent="23"/>
    </xf>
    <xf numFmtId="0" fontId="8" fillId="3" borderId="7" xfId="0" applyFont="1" applyFill="1" applyBorder="1" applyAlignment="1">
      <alignment horizontal="center"/>
    </xf>
    <xf numFmtId="0" fontId="8" fillId="3" borderId="9" xfId="0" applyFont="1" applyFill="1" applyBorder="1" applyAlignment="1">
      <alignment horizontal="center"/>
    </xf>
    <xf numFmtId="0" fontId="8" fillId="3" borderId="8" xfId="0" applyFont="1" applyFill="1" applyBorder="1" applyAlignment="1">
      <alignment horizontal="center"/>
    </xf>
    <xf numFmtId="0" fontId="16" fillId="8" borderId="20" xfId="0" applyFont="1" applyFill="1" applyBorder="1" applyAlignment="1">
      <alignment horizontal="left"/>
    </xf>
    <xf numFmtId="0" fontId="16" fillId="8" borderId="23" xfId="0" applyFont="1" applyFill="1" applyBorder="1" applyAlignment="1">
      <alignment horizontal="left"/>
    </xf>
    <xf numFmtId="0" fontId="16" fillId="8" borderId="21" xfId="0" applyFont="1" applyFill="1" applyBorder="1" applyAlignment="1">
      <alignment horizontal="left"/>
    </xf>
    <xf numFmtId="0" fontId="16" fillId="8" borderId="3" xfId="0" applyFont="1" applyFill="1" applyBorder="1" applyAlignment="1">
      <alignment horizontal="left"/>
    </xf>
    <xf numFmtId="0" fontId="25" fillId="8" borderId="4" xfId="0" applyFont="1" applyFill="1" applyBorder="1" applyAlignment="1">
      <alignment horizontal="center"/>
    </xf>
    <xf numFmtId="0" fontId="16" fillId="8" borderId="4" xfId="0" applyFont="1" applyFill="1" applyBorder="1" applyAlignment="1">
      <alignment horizontal="center"/>
    </xf>
    <xf numFmtId="0" fontId="16" fillId="8" borderId="10" xfId="0" applyFont="1" applyFill="1" applyBorder="1" applyAlignment="1">
      <alignment horizontal="center"/>
    </xf>
    <xf numFmtId="0" fontId="16" fillId="8" borderId="11" xfId="0" applyFont="1" applyFill="1" applyBorder="1" applyAlignment="1">
      <alignment horizontal="center"/>
    </xf>
    <xf numFmtId="0" fontId="16" fillId="8" borderId="12" xfId="0" applyFont="1" applyFill="1" applyBorder="1" applyAlignment="1">
      <alignment horizontal="center"/>
    </xf>
    <xf numFmtId="0" fontId="16" fillId="8" borderId="15" xfId="0" applyFont="1" applyFill="1" applyBorder="1" applyAlignment="1">
      <alignment horizontal="center"/>
    </xf>
    <xf numFmtId="0" fontId="16" fillId="8" borderId="16" xfId="0" applyFont="1" applyFill="1" applyBorder="1" applyAlignment="1">
      <alignment horizontal="center"/>
    </xf>
    <xf numFmtId="0" fontId="16" fillId="8" borderId="17" xfId="0" applyFont="1" applyFill="1" applyBorder="1" applyAlignment="1">
      <alignment horizontal="center"/>
    </xf>
    <xf numFmtId="0" fontId="2" fillId="8" borderId="4" xfId="0" applyFont="1" applyFill="1" applyBorder="1" applyAlignment="1">
      <alignment horizontal="center"/>
    </xf>
    <xf numFmtId="0" fontId="10" fillId="0" borderId="0" xfId="0" applyFont="1" applyAlignment="1">
      <alignment horizontal="center"/>
    </xf>
    <xf numFmtId="0" fontId="14" fillId="7" borderId="0" xfId="0" applyFont="1" applyFill="1" applyAlignment="1">
      <alignment horizontal="center"/>
    </xf>
    <xf numFmtId="0" fontId="14" fillId="7" borderId="3" xfId="0" applyFont="1" applyFill="1" applyBorder="1" applyAlignment="1">
      <alignment horizontal="center"/>
    </xf>
    <xf numFmtId="0" fontId="14" fillId="7" borderId="16" xfId="0" applyFont="1" applyFill="1" applyBorder="1" applyAlignment="1">
      <alignment horizontal="center"/>
    </xf>
    <xf numFmtId="0" fontId="17" fillId="7" borderId="0" xfId="0" applyFont="1" applyFill="1" applyAlignment="1">
      <alignment horizontal="center"/>
    </xf>
    <xf numFmtId="0" fontId="10" fillId="11" borderId="0" xfId="0" applyFont="1" applyFill="1" applyAlignment="1">
      <alignment horizontal="center"/>
    </xf>
    <xf numFmtId="0" fontId="16" fillId="0" borderId="0" xfId="0" applyFont="1" applyAlignment="1">
      <alignment horizontal="center"/>
    </xf>
    <xf numFmtId="0" fontId="0" fillId="0" borderId="0" xfId="0" applyAlignment="1">
      <alignment horizontal="left" wrapText="1"/>
    </xf>
  </cellXfs>
  <cellStyles count="3">
    <cellStyle name="Hyperlink" xfId="2" builtinId="8"/>
    <cellStyle name="Normal" xfId="0" builtinId="0"/>
    <cellStyle name="Percent" xfId="1" builtinId="5"/>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
      <tableStyleElement type="headerRow" dxfId="0"/>
    </tableStyle>
  </tableStyles>
  <colors>
    <mruColors>
      <color rgb="FF00FF00"/>
      <color rgb="FF0BC7F3"/>
      <color rgb="FF1DC4FF"/>
      <color rgb="FF43CEFF"/>
      <color rgb="FF8AF200"/>
      <color rgb="FF29C929"/>
      <color rgb="FF4BA3B5"/>
      <color rgb="FF00FFFF"/>
      <color rgb="FFC79C6E"/>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fmlaLink="M43" lockText="1" noThreeD="1"/>
</file>

<file path=xl/ctrlProps/ctrlProp11.xml><?xml version="1.0" encoding="utf-8"?>
<formControlPr xmlns="http://schemas.microsoft.com/office/spreadsheetml/2009/9/main" objectType="CheckBox" checked="Checked" fmlaLink="M49" lockText="1" noThreeD="1"/>
</file>

<file path=xl/ctrlProps/ctrlProp12.xml><?xml version="1.0" encoding="utf-8"?>
<formControlPr xmlns="http://schemas.microsoft.com/office/spreadsheetml/2009/9/main" objectType="CheckBox" checked="Checked" fmlaLink="C61" lockText="1" noThreeD="1"/>
</file>

<file path=xl/ctrlProps/ctrlProp13.xml><?xml version="1.0" encoding="utf-8"?>
<formControlPr xmlns="http://schemas.microsoft.com/office/spreadsheetml/2009/9/main" objectType="CheckBox" checked="Checked" fmlaLink="C63" lockText="1" noThreeD="1"/>
</file>

<file path=xl/ctrlProps/ctrlProp14.xml><?xml version="1.0" encoding="utf-8"?>
<formControlPr xmlns="http://schemas.microsoft.com/office/spreadsheetml/2009/9/main" objectType="CheckBox" checked="Checked" fmlaLink="C64" lockText="1" noThreeD="1"/>
</file>

<file path=xl/ctrlProps/ctrlProp15.xml><?xml version="1.0" encoding="utf-8"?>
<formControlPr xmlns="http://schemas.microsoft.com/office/spreadsheetml/2009/9/main" objectType="CheckBox" checked="Checked" fmlaLink="C55" lockText="1" noThreeD="1"/>
</file>

<file path=xl/ctrlProps/ctrlProp16.xml><?xml version="1.0" encoding="utf-8"?>
<formControlPr xmlns="http://schemas.microsoft.com/office/spreadsheetml/2009/9/main" objectType="CheckBox" checked="Checked" fmlaLink="C56" lockText="1" noThreeD="1"/>
</file>

<file path=xl/ctrlProps/ctrlProp17.xml><?xml version="1.0" encoding="utf-8"?>
<formControlPr xmlns="http://schemas.microsoft.com/office/spreadsheetml/2009/9/main" objectType="CheckBox" fmlaLink="C62" lockText="1" noThreeD="1"/>
</file>

<file path=xl/ctrlProps/ctrlProp18.xml><?xml version="1.0" encoding="utf-8"?>
<formControlPr xmlns="http://schemas.microsoft.com/office/spreadsheetml/2009/9/main" objectType="CheckBox" checked="Checked" fmlaLink="C65" lockText="1" noThreeD="1"/>
</file>

<file path=xl/ctrlProps/ctrlProp19.xml><?xml version="1.0" encoding="utf-8"?>
<formControlPr xmlns="http://schemas.microsoft.com/office/spreadsheetml/2009/9/main" objectType="CheckBox" fmlaLink="C67"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fmlaLink="C68" lockText="1" noThreeD="1"/>
</file>

<file path=xl/ctrlProps/ctrlProp21.xml><?xml version="1.0" encoding="utf-8"?>
<formControlPr xmlns="http://schemas.microsoft.com/office/spreadsheetml/2009/9/main" objectType="CheckBox" fmlaLink="C69" lockText="1" noThreeD="1"/>
</file>

<file path=xl/ctrlProps/ctrlProp22.xml><?xml version="1.0" encoding="utf-8"?>
<formControlPr xmlns="http://schemas.microsoft.com/office/spreadsheetml/2009/9/main" objectType="CheckBox" fmlaLink="C71" lockText="1" noThreeD="1"/>
</file>

<file path=xl/ctrlProps/ctrlProp23.xml><?xml version="1.0" encoding="utf-8"?>
<formControlPr xmlns="http://schemas.microsoft.com/office/spreadsheetml/2009/9/main" objectType="CheckBox" fmlaLink="C72" lockText="1" noThreeD="1"/>
</file>

<file path=xl/ctrlProps/ctrlProp24.xml><?xml version="1.0" encoding="utf-8"?>
<formControlPr xmlns="http://schemas.microsoft.com/office/spreadsheetml/2009/9/main" objectType="CheckBox" fmlaLink="C73" lockText="1" noThreeD="1"/>
</file>

<file path=xl/ctrlProps/ctrlProp25.xml><?xml version="1.0" encoding="utf-8"?>
<formControlPr xmlns="http://schemas.microsoft.com/office/spreadsheetml/2009/9/main" objectType="CheckBox" fmlaLink="C58" lockText="1" noThreeD="1"/>
</file>

<file path=xl/ctrlProps/ctrlProp26.xml><?xml version="1.0" encoding="utf-8"?>
<formControlPr xmlns="http://schemas.microsoft.com/office/spreadsheetml/2009/9/main" objectType="CheckBox" fmlaLink="C74" lockText="1" noThreeD="1"/>
</file>

<file path=xl/ctrlProps/ctrlProp27.xml><?xml version="1.0" encoding="utf-8"?>
<formControlPr xmlns="http://schemas.microsoft.com/office/spreadsheetml/2009/9/main" objectType="CheckBox" fmlaLink="E59" lockText="1" noThreeD="1"/>
</file>

<file path=xl/ctrlProps/ctrlProp28.xml><?xml version="1.0" encoding="utf-8"?>
<formControlPr xmlns="http://schemas.microsoft.com/office/spreadsheetml/2009/9/main" objectType="CheckBox" fmlaLink="E56" lockText="1" noThreeD="1"/>
</file>

<file path=xl/ctrlProps/ctrlProp29.xml><?xml version="1.0" encoding="utf-8"?>
<formControlPr xmlns="http://schemas.microsoft.com/office/spreadsheetml/2009/9/main" objectType="CheckBox" fmlaLink="E55" lockText="1" noThreeD="1"/>
</file>

<file path=xl/ctrlProps/ctrlProp3.xml><?xml version="1.0" encoding="utf-8"?>
<formControlPr xmlns="http://schemas.microsoft.com/office/spreadsheetml/2009/9/main" objectType="CheckBox" checked="Checked" fmlaLink="M41" lockText="1" noThreeD="1"/>
</file>

<file path=xl/ctrlProps/ctrlProp30.xml><?xml version="1.0" encoding="utf-8"?>
<formControlPr xmlns="http://schemas.microsoft.com/office/spreadsheetml/2009/9/main" objectType="CheckBox" checked="Checked" fmlaLink="E60" lockText="1" noThreeD="1"/>
</file>

<file path=xl/ctrlProps/ctrlProp31.xml><?xml version="1.0" encoding="utf-8"?>
<formControlPr xmlns="http://schemas.microsoft.com/office/spreadsheetml/2009/9/main" objectType="CheckBox" fmlaLink="E61" lockText="1" noThreeD="1"/>
</file>

<file path=xl/ctrlProps/ctrlProp32.xml><?xml version="1.0" encoding="utf-8"?>
<formControlPr xmlns="http://schemas.microsoft.com/office/spreadsheetml/2009/9/main" objectType="CheckBox" fmlaLink="E58" lockText="1" noThreeD="1"/>
</file>

<file path=xl/ctrlProps/ctrlProp33.xml><?xml version="1.0" encoding="utf-8"?>
<formControlPr xmlns="http://schemas.microsoft.com/office/spreadsheetml/2009/9/main" objectType="CheckBox" fmlaLink="E67" lockText="1" noThreeD="1"/>
</file>

<file path=xl/ctrlProps/ctrlProp34.xml><?xml version="1.0" encoding="utf-8"?>
<formControlPr xmlns="http://schemas.microsoft.com/office/spreadsheetml/2009/9/main" objectType="CheckBox" fmlaLink="E79" lockText="1" noThreeD="1"/>
</file>

<file path=xl/ctrlProps/ctrlProp35.xml><?xml version="1.0" encoding="utf-8"?>
<formControlPr xmlns="http://schemas.microsoft.com/office/spreadsheetml/2009/9/main" objectType="CheckBox" checked="Checked" fmlaLink="E64" lockText="1" noThreeD="1"/>
</file>

<file path=xl/ctrlProps/ctrlProp36.xml><?xml version="1.0" encoding="utf-8"?>
<formControlPr xmlns="http://schemas.microsoft.com/office/spreadsheetml/2009/9/main" objectType="CheckBox" checked="Checked" fmlaLink="E62" lockText="1" noThreeD="1"/>
</file>

<file path=xl/ctrlProps/ctrlProp37.xml><?xml version="1.0" encoding="utf-8"?>
<formControlPr xmlns="http://schemas.microsoft.com/office/spreadsheetml/2009/9/main" objectType="CheckBox" checked="Checked" fmlaLink="E78" lockText="1" noThreeD="1"/>
</file>

<file path=xl/ctrlProps/ctrlProp38.xml><?xml version="1.0" encoding="utf-8"?>
<formControlPr xmlns="http://schemas.microsoft.com/office/spreadsheetml/2009/9/main" objectType="CheckBox" checked="Checked" fmlaLink="E68" lockText="1" noThreeD="1"/>
</file>

<file path=xl/ctrlProps/ctrlProp39.xml><?xml version="1.0" encoding="utf-8"?>
<formControlPr xmlns="http://schemas.microsoft.com/office/spreadsheetml/2009/9/main" objectType="CheckBox" fmlaLink="E63" lockText="1" noThreeD="1"/>
</file>

<file path=xl/ctrlProps/ctrlProp4.xml><?xml version="1.0" encoding="utf-8"?>
<formControlPr xmlns="http://schemas.microsoft.com/office/spreadsheetml/2009/9/main" objectType="CheckBox" fmlaLink="M42" lockText="1" noThreeD="1"/>
</file>

<file path=xl/ctrlProps/ctrlProp40.xml><?xml version="1.0" encoding="utf-8"?>
<formControlPr xmlns="http://schemas.microsoft.com/office/spreadsheetml/2009/9/main" objectType="CheckBox" fmlaLink="E57" lockText="1" noThreeD="1"/>
</file>

<file path=xl/ctrlProps/ctrlProp41.xml><?xml version="1.0" encoding="utf-8"?>
<formControlPr xmlns="http://schemas.microsoft.com/office/spreadsheetml/2009/9/main" objectType="CheckBox" fmlaLink="F56" lockText="1" noThreeD="1"/>
</file>

<file path=xl/ctrlProps/ctrlProp42.xml><?xml version="1.0" encoding="utf-8"?>
<formControlPr xmlns="http://schemas.microsoft.com/office/spreadsheetml/2009/9/main" objectType="CheckBox" checked="Checked" fmlaLink="F55" lockText="1" noThreeD="1"/>
</file>

<file path=xl/ctrlProps/ctrlProp43.xml><?xml version="1.0" encoding="utf-8"?>
<formControlPr xmlns="http://schemas.microsoft.com/office/spreadsheetml/2009/9/main" objectType="CheckBox" fmlaLink="F57" lockText="1" noThreeD="1"/>
</file>

<file path=xl/ctrlProps/ctrlProp44.xml><?xml version="1.0" encoding="utf-8"?>
<formControlPr xmlns="http://schemas.microsoft.com/office/spreadsheetml/2009/9/main" objectType="CheckBox" fmlaLink="C35" lockText="1" noThreeD="1"/>
</file>

<file path=xl/ctrlProps/ctrlProp45.xml><?xml version="1.0" encoding="utf-8"?>
<formControlPr xmlns="http://schemas.microsoft.com/office/spreadsheetml/2009/9/main" objectType="CheckBox" fmlaLink="K56" lockText="1" noThreeD="1"/>
</file>

<file path=xl/ctrlProps/ctrlProp46.xml><?xml version="1.0" encoding="utf-8"?>
<formControlPr xmlns="http://schemas.microsoft.com/office/spreadsheetml/2009/9/main" objectType="CheckBox" checked="Checked" fmlaLink="C57" lockText="1" noThreeD="1"/>
</file>

<file path=xl/ctrlProps/ctrlProp47.xml><?xml version="1.0" encoding="utf-8"?>
<formControlPr xmlns="http://schemas.microsoft.com/office/spreadsheetml/2009/9/main" objectType="CheckBox" fmlaLink="C60" lockText="1" noThreeD="1"/>
</file>

<file path=xl/ctrlProps/ctrlProp48.xml><?xml version="1.0" encoding="utf-8"?>
<formControlPr xmlns="http://schemas.microsoft.com/office/spreadsheetml/2009/9/main" objectType="CheckBox" checked="Checked" fmlaLink="C78" lockText="1" noThreeD="1"/>
</file>

<file path=xl/ctrlProps/ctrlProp49.xml><?xml version="1.0" encoding="utf-8"?>
<formControlPr xmlns="http://schemas.microsoft.com/office/spreadsheetml/2009/9/main" objectType="CheckBox" checked="Checked" fmlaLink="C79" lockText="1" noThreeD="1"/>
</file>

<file path=xl/ctrlProps/ctrlProp5.xml><?xml version="1.0" encoding="utf-8"?>
<formControlPr xmlns="http://schemas.microsoft.com/office/spreadsheetml/2009/9/main" objectType="CheckBox" checked="Checked" fmlaLink="M44" lockText="1" noThreeD="1"/>
</file>

<file path=xl/ctrlProps/ctrlProp50.xml><?xml version="1.0" encoding="utf-8"?>
<formControlPr xmlns="http://schemas.microsoft.com/office/spreadsheetml/2009/9/main" objectType="CheckBox" checked="Checked" fmlaLink="C77" lockText="1" noThreeD="1"/>
</file>

<file path=xl/ctrlProps/ctrlProp51.xml><?xml version="1.0" encoding="utf-8"?>
<formControlPr xmlns="http://schemas.microsoft.com/office/spreadsheetml/2009/9/main" objectType="CheckBox" checked="Checked" fmlaLink="I56" lockText="1" noThreeD="1"/>
</file>

<file path=xl/ctrlProps/ctrlProp52.xml><?xml version="1.0" encoding="utf-8"?>
<formControlPr xmlns="http://schemas.microsoft.com/office/spreadsheetml/2009/9/main" objectType="CheckBox" checked="Checked" fmlaLink="I55" lockText="1" noThreeD="1"/>
</file>

<file path=xl/ctrlProps/ctrlProp53.xml><?xml version="1.0" encoding="utf-8"?>
<formControlPr xmlns="http://schemas.microsoft.com/office/spreadsheetml/2009/9/main" objectType="CheckBox" checked="Checked" fmlaLink="I57" lockText="1" noThreeD="1"/>
</file>

<file path=xl/ctrlProps/ctrlProp54.xml><?xml version="1.0" encoding="utf-8"?>
<formControlPr xmlns="http://schemas.microsoft.com/office/spreadsheetml/2009/9/main" objectType="CheckBox" checked="Checked" fmlaLink="I58" lockText="1" noThreeD="1"/>
</file>

<file path=xl/ctrlProps/ctrlProp55.xml><?xml version="1.0" encoding="utf-8"?>
<formControlPr xmlns="http://schemas.microsoft.com/office/spreadsheetml/2009/9/main" objectType="CheckBox" checked="Checked" fmlaLink="E77" lockText="1" noThreeD="1"/>
</file>

<file path=xl/ctrlProps/ctrlProp56.xml><?xml version="1.0" encoding="utf-8"?>
<formControlPr xmlns="http://schemas.microsoft.com/office/spreadsheetml/2009/9/main" objectType="CheckBox" fmlaLink="E80" lockText="1" noThreeD="1"/>
</file>

<file path=xl/ctrlProps/ctrlProp57.xml><?xml version="1.0" encoding="utf-8"?>
<formControlPr xmlns="http://schemas.microsoft.com/office/spreadsheetml/2009/9/main" objectType="CheckBox" fmlaLink="E71" lockText="1" noThreeD="1"/>
</file>

<file path=xl/ctrlProps/ctrlProp58.xml><?xml version="1.0" encoding="utf-8"?>
<formControlPr xmlns="http://schemas.microsoft.com/office/spreadsheetml/2009/9/main" objectType="CheckBox" fmlaLink="E72" lockText="1" noThreeD="1"/>
</file>

<file path=xl/ctrlProps/ctrlProp59.xml><?xml version="1.0" encoding="utf-8"?>
<formControlPr xmlns="http://schemas.microsoft.com/office/spreadsheetml/2009/9/main" objectType="CheckBox" fmlaLink="E73" lockText="1" noThreeD="1"/>
</file>

<file path=xl/ctrlProps/ctrlProp6.xml><?xml version="1.0" encoding="utf-8"?>
<formControlPr xmlns="http://schemas.microsoft.com/office/spreadsheetml/2009/9/main" objectType="CheckBox" fmlaLink="M45" lockText="1" noThreeD="1"/>
</file>

<file path=xl/ctrlProps/ctrlProp60.xml><?xml version="1.0" encoding="utf-8"?>
<formControlPr xmlns="http://schemas.microsoft.com/office/spreadsheetml/2009/9/main" objectType="CheckBox" fmlaLink="E69" lockText="1" noThreeD="1"/>
</file>

<file path=xl/ctrlProps/ctrlProp61.xml><?xml version="1.0" encoding="utf-8"?>
<formControlPr xmlns="http://schemas.microsoft.com/office/spreadsheetml/2009/9/main" objectType="CheckBox" fmlaLink="E74" lockText="1" noThreeD="1"/>
</file>

<file path=xl/ctrlProps/ctrlProp62.xml><?xml version="1.0" encoding="utf-8"?>
<formControlPr xmlns="http://schemas.microsoft.com/office/spreadsheetml/2009/9/main" objectType="CheckBox" fmlaLink="E75" lockText="1" noThreeD="1"/>
</file>

<file path=xl/ctrlProps/ctrlProp63.xml><?xml version="1.0" encoding="utf-8"?>
<formControlPr xmlns="http://schemas.microsoft.com/office/spreadsheetml/2009/9/main" objectType="CheckBox" fmlaLink="C75" lockText="1" noThreeD="1"/>
</file>

<file path=xl/ctrlProps/ctrlProp64.xml><?xml version="1.0" encoding="utf-8"?>
<formControlPr xmlns="http://schemas.microsoft.com/office/spreadsheetml/2009/9/main" objectType="CheckBox" fmlaLink="E81" lockText="1" noThreeD="1"/>
</file>

<file path=xl/ctrlProps/ctrlProp65.xml><?xml version="1.0" encoding="utf-8"?>
<formControlPr xmlns="http://schemas.microsoft.com/office/spreadsheetml/2009/9/main" objectType="CheckBox" fmlaLink="K55" lockText="1" noThreeD="1"/>
</file>

<file path=xl/ctrlProps/ctrlProp66.xml><?xml version="1.0" encoding="utf-8"?>
<formControlPr xmlns="http://schemas.microsoft.com/office/spreadsheetml/2009/9/main" objectType="CheckBox" checked="Checked" fmlaLink="E66" lockText="1" noThreeD="1"/>
</file>

<file path=xl/ctrlProps/ctrlProp67.xml><?xml version="1.0" encoding="utf-8"?>
<formControlPr xmlns="http://schemas.microsoft.com/office/spreadsheetml/2009/9/main" objectType="CheckBox" fmlaLink="E65" lockText="1" noThreeD="1"/>
</file>

<file path=xl/ctrlProps/ctrlProp68.xml><?xml version="1.0" encoding="utf-8"?>
<formControlPr xmlns="http://schemas.microsoft.com/office/spreadsheetml/2009/9/main" objectType="CheckBox" fmlaLink="E82" lockText="1" noThreeD="1"/>
</file>

<file path=xl/ctrlProps/ctrlProp69.xml><?xml version="1.0" encoding="utf-8"?>
<formControlPr xmlns="http://schemas.microsoft.com/office/spreadsheetml/2009/9/main" objectType="CheckBox" fmlaLink="I59" lockText="1" noThreeD="1"/>
</file>

<file path=xl/ctrlProps/ctrlProp7.xml><?xml version="1.0" encoding="utf-8"?>
<formControlPr xmlns="http://schemas.microsoft.com/office/spreadsheetml/2009/9/main" objectType="CheckBox" checked="Checked" fmlaLink="M46" lockText="1" noThreeD="1"/>
</file>

<file path=xl/ctrlProps/ctrlProp8.xml><?xml version="1.0" encoding="utf-8"?>
<formControlPr xmlns="http://schemas.microsoft.com/office/spreadsheetml/2009/9/main" objectType="CheckBox" fmlaLink="M48" lockText="1" noThreeD="1"/>
</file>

<file path=xl/ctrlProps/ctrlProp9.xml><?xml version="1.0" encoding="utf-8"?>
<formControlPr xmlns="http://schemas.microsoft.com/office/spreadsheetml/2009/9/main" objectType="CheckBox" fmlaLink="M47"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457200</xdr:colOff>
          <xdr:row>11</xdr:row>
          <xdr:rowOff>104775</xdr:rowOff>
        </xdr:from>
        <xdr:to>
          <xdr:col>4</xdr:col>
          <xdr:colOff>257175</xdr:colOff>
          <xdr:row>13</xdr:row>
          <xdr:rowOff>95250</xdr:rowOff>
        </xdr:to>
        <xdr:sp macro="" textlink="">
          <xdr:nvSpPr>
            <xdr:cNvPr id="3073" name="Check Box 1" hidden="1">
              <a:extLst>
                <a:ext uri="{63B3BB69-23CF-44E3-9099-C40C66FF867C}">
                  <a14:compatExt spid="_x0000_s3073"/>
                </a:ext>
                <a:ext uri="{FF2B5EF4-FFF2-40B4-BE49-F238E27FC236}">
                  <a16:creationId xmlns:a16="http://schemas.microsoft.com/office/drawing/2014/main" id="{00000000-0008-0000-0000-00000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1733550</xdr:colOff>
          <xdr:row>16</xdr:row>
          <xdr:rowOff>104775</xdr:rowOff>
        </xdr:from>
        <xdr:to>
          <xdr:col>2</xdr:col>
          <xdr:colOff>219075</xdr:colOff>
          <xdr:row>18</xdr:row>
          <xdr:rowOff>104775</xdr:rowOff>
        </xdr:to>
        <xdr:sp macro="" textlink="">
          <xdr:nvSpPr>
            <xdr:cNvPr id="3074" name="Check Box 2" hidden="1">
              <a:extLst>
                <a:ext uri="{63B3BB69-23CF-44E3-9099-C40C66FF867C}">
                  <a14:compatExt spid="_x0000_s3074"/>
                </a:ext>
                <a:ext uri="{FF2B5EF4-FFF2-40B4-BE49-F238E27FC236}">
                  <a16:creationId xmlns:a16="http://schemas.microsoft.com/office/drawing/2014/main" id="{00000000-0008-0000-0000-00000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12</xdr:col>
          <xdr:colOff>66675</xdr:colOff>
          <xdr:row>39</xdr:row>
          <xdr:rowOff>104775</xdr:rowOff>
        </xdr:from>
        <xdr:to>
          <xdr:col>13</xdr:col>
          <xdr:colOff>28575</xdr:colOff>
          <xdr:row>41</xdr:row>
          <xdr:rowOff>38100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5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66675</xdr:colOff>
          <xdr:row>40</xdr:row>
          <xdr:rowOff>104775</xdr:rowOff>
        </xdr:from>
        <xdr:to>
          <xdr:col>13</xdr:col>
          <xdr:colOff>28575</xdr:colOff>
          <xdr:row>42</xdr:row>
          <xdr:rowOff>38100</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5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66675</xdr:colOff>
          <xdr:row>42</xdr:row>
          <xdr:rowOff>104775</xdr:rowOff>
        </xdr:from>
        <xdr:to>
          <xdr:col>13</xdr:col>
          <xdr:colOff>28575</xdr:colOff>
          <xdr:row>44</xdr:row>
          <xdr:rowOff>38100</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5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66675</xdr:colOff>
          <xdr:row>43</xdr:row>
          <xdr:rowOff>104775</xdr:rowOff>
        </xdr:from>
        <xdr:to>
          <xdr:col>13</xdr:col>
          <xdr:colOff>28575</xdr:colOff>
          <xdr:row>45</xdr:row>
          <xdr:rowOff>38100</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5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66675</xdr:colOff>
          <xdr:row>44</xdr:row>
          <xdr:rowOff>104775</xdr:rowOff>
        </xdr:from>
        <xdr:to>
          <xdr:col>13</xdr:col>
          <xdr:colOff>28575</xdr:colOff>
          <xdr:row>46</xdr:row>
          <xdr:rowOff>38100</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5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66675</xdr:colOff>
          <xdr:row>46</xdr:row>
          <xdr:rowOff>104775</xdr:rowOff>
        </xdr:from>
        <xdr:to>
          <xdr:col>13</xdr:col>
          <xdr:colOff>28575</xdr:colOff>
          <xdr:row>48</xdr:row>
          <xdr:rowOff>38100</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5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66675</xdr:colOff>
          <xdr:row>45</xdr:row>
          <xdr:rowOff>104775</xdr:rowOff>
        </xdr:from>
        <xdr:to>
          <xdr:col>13</xdr:col>
          <xdr:colOff>28575</xdr:colOff>
          <xdr:row>47</xdr:row>
          <xdr:rowOff>38100</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5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66675</xdr:colOff>
          <xdr:row>41</xdr:row>
          <xdr:rowOff>104775</xdr:rowOff>
        </xdr:from>
        <xdr:to>
          <xdr:col>13</xdr:col>
          <xdr:colOff>28575</xdr:colOff>
          <xdr:row>43</xdr:row>
          <xdr:rowOff>38100</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5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66675</xdr:colOff>
          <xdr:row>47</xdr:row>
          <xdr:rowOff>104775</xdr:rowOff>
        </xdr:from>
        <xdr:to>
          <xdr:col>13</xdr:col>
          <xdr:colOff>28575</xdr:colOff>
          <xdr:row>49</xdr:row>
          <xdr:rowOff>38100</xdr:rowOff>
        </xdr:to>
        <xdr:sp macro="" textlink="">
          <xdr:nvSpPr>
            <xdr:cNvPr id="1056" name="Check Box 32" hidden="1">
              <a:extLst>
                <a:ext uri="{63B3BB69-23CF-44E3-9099-C40C66FF867C}">
                  <a14:compatExt spid="_x0000_s1056"/>
                </a:ext>
                <a:ext uri="{FF2B5EF4-FFF2-40B4-BE49-F238E27FC236}">
                  <a16:creationId xmlns:a16="http://schemas.microsoft.com/office/drawing/2014/main" id="{00000000-0008-0000-05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533400</xdr:colOff>
          <xdr:row>59</xdr:row>
          <xdr:rowOff>104775</xdr:rowOff>
        </xdr:from>
        <xdr:to>
          <xdr:col>2</xdr:col>
          <xdr:colOff>838200</xdr:colOff>
          <xdr:row>61</xdr:row>
          <xdr:rowOff>38100</xdr:rowOff>
        </xdr:to>
        <xdr:sp macro="" textlink="">
          <xdr:nvSpPr>
            <xdr:cNvPr id="1058" name="Check Box 34" hidden="1">
              <a:extLst>
                <a:ext uri="{63B3BB69-23CF-44E3-9099-C40C66FF867C}">
                  <a14:compatExt spid="_x0000_s1058"/>
                </a:ext>
                <a:ext uri="{FF2B5EF4-FFF2-40B4-BE49-F238E27FC236}">
                  <a16:creationId xmlns:a16="http://schemas.microsoft.com/office/drawing/2014/main" id="{00000000-0008-0000-05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533400</xdr:colOff>
          <xdr:row>61</xdr:row>
          <xdr:rowOff>104775</xdr:rowOff>
        </xdr:from>
        <xdr:to>
          <xdr:col>2</xdr:col>
          <xdr:colOff>838200</xdr:colOff>
          <xdr:row>63</xdr:row>
          <xdr:rowOff>38100</xdr:rowOff>
        </xdr:to>
        <xdr:sp macro="" textlink="">
          <xdr:nvSpPr>
            <xdr:cNvPr id="1059" name="Check Box 35" hidden="1">
              <a:extLst>
                <a:ext uri="{63B3BB69-23CF-44E3-9099-C40C66FF867C}">
                  <a14:compatExt spid="_x0000_s1059"/>
                </a:ext>
                <a:ext uri="{FF2B5EF4-FFF2-40B4-BE49-F238E27FC236}">
                  <a16:creationId xmlns:a16="http://schemas.microsoft.com/office/drawing/2014/main" id="{00000000-0008-0000-05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533400</xdr:colOff>
          <xdr:row>62</xdr:row>
          <xdr:rowOff>104775</xdr:rowOff>
        </xdr:from>
        <xdr:to>
          <xdr:col>2</xdr:col>
          <xdr:colOff>838200</xdr:colOff>
          <xdr:row>64</xdr:row>
          <xdr:rowOff>38100</xdr:rowOff>
        </xdr:to>
        <xdr:sp macro="" textlink="">
          <xdr:nvSpPr>
            <xdr:cNvPr id="1060" name="Check Box 36" hidden="1">
              <a:extLst>
                <a:ext uri="{63B3BB69-23CF-44E3-9099-C40C66FF867C}">
                  <a14:compatExt spid="_x0000_s1060"/>
                </a:ext>
                <a:ext uri="{FF2B5EF4-FFF2-40B4-BE49-F238E27FC236}">
                  <a16:creationId xmlns:a16="http://schemas.microsoft.com/office/drawing/2014/main" id="{00000000-0008-0000-0500-00002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533400</xdr:colOff>
          <xdr:row>53</xdr:row>
          <xdr:rowOff>104775</xdr:rowOff>
        </xdr:from>
        <xdr:to>
          <xdr:col>2</xdr:col>
          <xdr:colOff>838200</xdr:colOff>
          <xdr:row>55</xdr:row>
          <xdr:rowOff>38100</xdr:rowOff>
        </xdr:to>
        <xdr:sp macro="" textlink="">
          <xdr:nvSpPr>
            <xdr:cNvPr id="1061" name="Check Box 37" hidden="1">
              <a:extLst>
                <a:ext uri="{63B3BB69-23CF-44E3-9099-C40C66FF867C}">
                  <a14:compatExt spid="_x0000_s1061"/>
                </a:ext>
                <a:ext uri="{FF2B5EF4-FFF2-40B4-BE49-F238E27FC236}">
                  <a16:creationId xmlns:a16="http://schemas.microsoft.com/office/drawing/2014/main" id="{00000000-0008-0000-0500-00002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533400</xdr:colOff>
          <xdr:row>54</xdr:row>
          <xdr:rowOff>104775</xdr:rowOff>
        </xdr:from>
        <xdr:to>
          <xdr:col>2</xdr:col>
          <xdr:colOff>838200</xdr:colOff>
          <xdr:row>56</xdr:row>
          <xdr:rowOff>38100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5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533400</xdr:colOff>
          <xdr:row>60</xdr:row>
          <xdr:rowOff>104775</xdr:rowOff>
        </xdr:from>
        <xdr:to>
          <xdr:col>2</xdr:col>
          <xdr:colOff>838200</xdr:colOff>
          <xdr:row>62</xdr:row>
          <xdr:rowOff>38100</xdr:rowOff>
        </xdr:to>
        <xdr:sp macro="" textlink="">
          <xdr:nvSpPr>
            <xdr:cNvPr id="1063" name="Check Box 39" hidden="1">
              <a:extLst>
                <a:ext uri="{63B3BB69-23CF-44E3-9099-C40C66FF867C}">
                  <a14:compatExt spid="_x0000_s1063"/>
                </a:ext>
                <a:ext uri="{FF2B5EF4-FFF2-40B4-BE49-F238E27FC236}">
                  <a16:creationId xmlns:a16="http://schemas.microsoft.com/office/drawing/2014/main" id="{00000000-0008-0000-0500-00002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533400</xdr:colOff>
          <xdr:row>63</xdr:row>
          <xdr:rowOff>95250</xdr:rowOff>
        </xdr:from>
        <xdr:to>
          <xdr:col>2</xdr:col>
          <xdr:colOff>838200</xdr:colOff>
          <xdr:row>65</xdr:row>
          <xdr:rowOff>57150</xdr:rowOff>
        </xdr:to>
        <xdr:sp macro="" textlink="">
          <xdr:nvSpPr>
            <xdr:cNvPr id="1064" name="Check Box 40" hidden="1">
              <a:extLst>
                <a:ext uri="{63B3BB69-23CF-44E3-9099-C40C66FF867C}">
                  <a14:compatExt spid="_x0000_s1064"/>
                </a:ext>
                <a:ext uri="{FF2B5EF4-FFF2-40B4-BE49-F238E27FC236}">
                  <a16:creationId xmlns:a16="http://schemas.microsoft.com/office/drawing/2014/main" id="{00000000-0008-0000-0500-00002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533400</xdr:colOff>
          <xdr:row>65</xdr:row>
          <xdr:rowOff>104775</xdr:rowOff>
        </xdr:from>
        <xdr:to>
          <xdr:col>2</xdr:col>
          <xdr:colOff>838200</xdr:colOff>
          <xdr:row>67</xdr:row>
          <xdr:rowOff>38100</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5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533400</xdr:colOff>
          <xdr:row>66</xdr:row>
          <xdr:rowOff>104775</xdr:rowOff>
        </xdr:from>
        <xdr:to>
          <xdr:col>2</xdr:col>
          <xdr:colOff>838200</xdr:colOff>
          <xdr:row>68</xdr:row>
          <xdr:rowOff>38100</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5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533400</xdr:colOff>
          <xdr:row>67</xdr:row>
          <xdr:rowOff>104775</xdr:rowOff>
        </xdr:from>
        <xdr:to>
          <xdr:col>2</xdr:col>
          <xdr:colOff>838200</xdr:colOff>
          <xdr:row>69</xdr:row>
          <xdr:rowOff>38100</xdr:rowOff>
        </xdr:to>
        <xdr:sp macro="" textlink="">
          <xdr:nvSpPr>
            <xdr:cNvPr id="1067" name="Check Box 43" hidden="1">
              <a:extLst>
                <a:ext uri="{63B3BB69-23CF-44E3-9099-C40C66FF867C}">
                  <a14:compatExt spid="_x0000_s1067"/>
                </a:ext>
                <a:ext uri="{FF2B5EF4-FFF2-40B4-BE49-F238E27FC236}">
                  <a16:creationId xmlns:a16="http://schemas.microsoft.com/office/drawing/2014/main" id="{00000000-0008-0000-05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533400</xdr:colOff>
          <xdr:row>69</xdr:row>
          <xdr:rowOff>104775</xdr:rowOff>
        </xdr:from>
        <xdr:to>
          <xdr:col>2</xdr:col>
          <xdr:colOff>838200</xdr:colOff>
          <xdr:row>71</xdr:row>
          <xdr:rowOff>38100</xdr:rowOff>
        </xdr:to>
        <xdr:sp macro="" textlink="">
          <xdr:nvSpPr>
            <xdr:cNvPr id="1068" name="Check Box 44" hidden="1">
              <a:extLst>
                <a:ext uri="{63B3BB69-23CF-44E3-9099-C40C66FF867C}">
                  <a14:compatExt spid="_x0000_s1068"/>
                </a:ext>
                <a:ext uri="{FF2B5EF4-FFF2-40B4-BE49-F238E27FC236}">
                  <a16:creationId xmlns:a16="http://schemas.microsoft.com/office/drawing/2014/main" id="{00000000-0008-0000-05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533400</xdr:colOff>
          <xdr:row>70</xdr:row>
          <xdr:rowOff>104775</xdr:rowOff>
        </xdr:from>
        <xdr:to>
          <xdr:col>2</xdr:col>
          <xdr:colOff>838200</xdr:colOff>
          <xdr:row>72</xdr:row>
          <xdr:rowOff>38100</xdr:rowOff>
        </xdr:to>
        <xdr:sp macro="" textlink="">
          <xdr:nvSpPr>
            <xdr:cNvPr id="1069" name="Check Box 45" hidden="1">
              <a:extLst>
                <a:ext uri="{63B3BB69-23CF-44E3-9099-C40C66FF867C}">
                  <a14:compatExt spid="_x0000_s1069"/>
                </a:ext>
                <a:ext uri="{FF2B5EF4-FFF2-40B4-BE49-F238E27FC236}">
                  <a16:creationId xmlns:a16="http://schemas.microsoft.com/office/drawing/2014/main" id="{00000000-0008-0000-05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533400</xdr:colOff>
          <xdr:row>71</xdr:row>
          <xdr:rowOff>104775</xdr:rowOff>
        </xdr:from>
        <xdr:to>
          <xdr:col>2</xdr:col>
          <xdr:colOff>838200</xdr:colOff>
          <xdr:row>73</xdr:row>
          <xdr:rowOff>38100</xdr:rowOff>
        </xdr:to>
        <xdr:sp macro="" textlink="">
          <xdr:nvSpPr>
            <xdr:cNvPr id="1070" name="Check Box 46" hidden="1">
              <a:extLst>
                <a:ext uri="{63B3BB69-23CF-44E3-9099-C40C66FF867C}">
                  <a14:compatExt spid="_x0000_s1070"/>
                </a:ext>
                <a:ext uri="{FF2B5EF4-FFF2-40B4-BE49-F238E27FC236}">
                  <a16:creationId xmlns:a16="http://schemas.microsoft.com/office/drawing/2014/main" id="{00000000-0008-0000-05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533400</xdr:colOff>
          <xdr:row>56</xdr:row>
          <xdr:rowOff>104775</xdr:rowOff>
        </xdr:from>
        <xdr:to>
          <xdr:col>2</xdr:col>
          <xdr:colOff>838200</xdr:colOff>
          <xdr:row>58</xdr:row>
          <xdr:rowOff>38100</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5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533400</xdr:colOff>
          <xdr:row>72</xdr:row>
          <xdr:rowOff>104775</xdr:rowOff>
        </xdr:from>
        <xdr:to>
          <xdr:col>2</xdr:col>
          <xdr:colOff>838200</xdr:colOff>
          <xdr:row>74</xdr:row>
          <xdr:rowOff>38100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5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xdr:colOff>
          <xdr:row>57</xdr:row>
          <xdr:rowOff>104775</xdr:rowOff>
        </xdr:from>
        <xdr:to>
          <xdr:col>5</xdr:col>
          <xdr:colOff>9525</xdr:colOff>
          <xdr:row>59</xdr:row>
          <xdr:rowOff>38100</xdr:rowOff>
        </xdr:to>
        <xdr:sp macro="" textlink="">
          <xdr:nvSpPr>
            <xdr:cNvPr id="1073" name="Check Box 49" hidden="1">
              <a:extLst>
                <a:ext uri="{63B3BB69-23CF-44E3-9099-C40C66FF867C}">
                  <a14:compatExt spid="_x0000_s1073"/>
                </a:ext>
                <a:ext uri="{FF2B5EF4-FFF2-40B4-BE49-F238E27FC236}">
                  <a16:creationId xmlns:a16="http://schemas.microsoft.com/office/drawing/2014/main" id="{00000000-0008-0000-0500-00003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xdr:colOff>
          <xdr:row>54</xdr:row>
          <xdr:rowOff>104775</xdr:rowOff>
        </xdr:from>
        <xdr:to>
          <xdr:col>5</xdr:col>
          <xdr:colOff>9525</xdr:colOff>
          <xdr:row>56</xdr:row>
          <xdr:rowOff>38100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5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xdr:colOff>
          <xdr:row>53</xdr:row>
          <xdr:rowOff>104775</xdr:rowOff>
        </xdr:from>
        <xdr:to>
          <xdr:col>5</xdr:col>
          <xdr:colOff>9525</xdr:colOff>
          <xdr:row>55</xdr:row>
          <xdr:rowOff>38100</xdr:rowOff>
        </xdr:to>
        <xdr:sp macro="" textlink="">
          <xdr:nvSpPr>
            <xdr:cNvPr id="1076" name="Check Box 52" hidden="1">
              <a:extLst>
                <a:ext uri="{63B3BB69-23CF-44E3-9099-C40C66FF867C}">
                  <a14:compatExt spid="_x0000_s1076"/>
                </a:ext>
                <a:ext uri="{FF2B5EF4-FFF2-40B4-BE49-F238E27FC236}">
                  <a16:creationId xmlns:a16="http://schemas.microsoft.com/office/drawing/2014/main" id="{00000000-0008-0000-0500-00003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xdr:colOff>
          <xdr:row>58</xdr:row>
          <xdr:rowOff>104775</xdr:rowOff>
        </xdr:from>
        <xdr:to>
          <xdr:col>5</xdr:col>
          <xdr:colOff>9525</xdr:colOff>
          <xdr:row>60</xdr:row>
          <xdr:rowOff>38100</xdr:rowOff>
        </xdr:to>
        <xdr:sp macro="" textlink="">
          <xdr:nvSpPr>
            <xdr:cNvPr id="1077" name="Check Box 53" hidden="1">
              <a:extLst>
                <a:ext uri="{63B3BB69-23CF-44E3-9099-C40C66FF867C}">
                  <a14:compatExt spid="_x0000_s1077"/>
                </a:ext>
                <a:ext uri="{FF2B5EF4-FFF2-40B4-BE49-F238E27FC236}">
                  <a16:creationId xmlns:a16="http://schemas.microsoft.com/office/drawing/2014/main" id="{00000000-0008-0000-0500-00003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xdr:colOff>
          <xdr:row>59</xdr:row>
          <xdr:rowOff>104775</xdr:rowOff>
        </xdr:from>
        <xdr:to>
          <xdr:col>5</xdr:col>
          <xdr:colOff>9525</xdr:colOff>
          <xdr:row>61</xdr:row>
          <xdr:rowOff>38100</xdr:rowOff>
        </xdr:to>
        <xdr:sp macro="" textlink="">
          <xdr:nvSpPr>
            <xdr:cNvPr id="1078" name="Check Box 54" hidden="1">
              <a:extLst>
                <a:ext uri="{63B3BB69-23CF-44E3-9099-C40C66FF867C}">
                  <a14:compatExt spid="_x0000_s1078"/>
                </a:ext>
                <a:ext uri="{FF2B5EF4-FFF2-40B4-BE49-F238E27FC236}">
                  <a16:creationId xmlns:a16="http://schemas.microsoft.com/office/drawing/2014/main" id="{00000000-0008-0000-0500-00003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xdr:colOff>
          <xdr:row>56</xdr:row>
          <xdr:rowOff>104775</xdr:rowOff>
        </xdr:from>
        <xdr:to>
          <xdr:col>5</xdr:col>
          <xdr:colOff>9525</xdr:colOff>
          <xdr:row>58</xdr:row>
          <xdr:rowOff>38100</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5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xdr:colOff>
          <xdr:row>65</xdr:row>
          <xdr:rowOff>104775</xdr:rowOff>
        </xdr:from>
        <xdr:to>
          <xdr:col>5</xdr:col>
          <xdr:colOff>9525</xdr:colOff>
          <xdr:row>67</xdr:row>
          <xdr:rowOff>38100</xdr:rowOff>
        </xdr:to>
        <xdr:sp macro="" textlink="">
          <xdr:nvSpPr>
            <xdr:cNvPr id="1080" name="Check Box 56" hidden="1">
              <a:extLst>
                <a:ext uri="{63B3BB69-23CF-44E3-9099-C40C66FF867C}">
                  <a14:compatExt spid="_x0000_s1080"/>
                </a:ext>
                <a:ext uri="{FF2B5EF4-FFF2-40B4-BE49-F238E27FC236}">
                  <a16:creationId xmlns:a16="http://schemas.microsoft.com/office/drawing/2014/main" id="{00000000-0008-0000-0500-00003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104775</xdr:colOff>
          <xdr:row>77</xdr:row>
          <xdr:rowOff>104775</xdr:rowOff>
        </xdr:from>
        <xdr:to>
          <xdr:col>5</xdr:col>
          <xdr:colOff>0</xdr:colOff>
          <xdr:row>79</xdr:row>
          <xdr:rowOff>38100</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5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xdr:colOff>
          <xdr:row>62</xdr:row>
          <xdr:rowOff>104775</xdr:rowOff>
        </xdr:from>
        <xdr:to>
          <xdr:col>5</xdr:col>
          <xdr:colOff>9525</xdr:colOff>
          <xdr:row>64</xdr:row>
          <xdr:rowOff>38100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5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xdr:colOff>
          <xdr:row>60</xdr:row>
          <xdr:rowOff>104775</xdr:rowOff>
        </xdr:from>
        <xdr:to>
          <xdr:col>5</xdr:col>
          <xdr:colOff>9525</xdr:colOff>
          <xdr:row>62</xdr:row>
          <xdr:rowOff>38100</xdr:rowOff>
        </xdr:to>
        <xdr:sp macro="" textlink="">
          <xdr:nvSpPr>
            <xdr:cNvPr id="1083" name="Check Box 59" hidden="1">
              <a:extLst>
                <a:ext uri="{63B3BB69-23CF-44E3-9099-C40C66FF867C}">
                  <a14:compatExt spid="_x0000_s1083"/>
                </a:ext>
                <a:ext uri="{FF2B5EF4-FFF2-40B4-BE49-F238E27FC236}">
                  <a16:creationId xmlns:a16="http://schemas.microsoft.com/office/drawing/2014/main" id="{00000000-0008-0000-0500-00003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104775</xdr:colOff>
          <xdr:row>76</xdr:row>
          <xdr:rowOff>104775</xdr:rowOff>
        </xdr:from>
        <xdr:to>
          <xdr:col>5</xdr:col>
          <xdr:colOff>0</xdr:colOff>
          <xdr:row>78</xdr:row>
          <xdr:rowOff>38100</xdr:rowOff>
        </xdr:to>
        <xdr:sp macro="" textlink="">
          <xdr:nvSpPr>
            <xdr:cNvPr id="1085" name="Check Box 61" hidden="1">
              <a:extLst>
                <a:ext uri="{63B3BB69-23CF-44E3-9099-C40C66FF867C}">
                  <a14:compatExt spid="_x0000_s1085"/>
                </a:ext>
                <a:ext uri="{FF2B5EF4-FFF2-40B4-BE49-F238E27FC236}">
                  <a16:creationId xmlns:a16="http://schemas.microsoft.com/office/drawing/2014/main" id="{00000000-0008-0000-0500-00003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xdr:colOff>
          <xdr:row>66</xdr:row>
          <xdr:rowOff>104775</xdr:rowOff>
        </xdr:from>
        <xdr:to>
          <xdr:col>5</xdr:col>
          <xdr:colOff>9525</xdr:colOff>
          <xdr:row>68</xdr:row>
          <xdr:rowOff>38100</xdr:rowOff>
        </xdr:to>
        <xdr:sp macro="" textlink="">
          <xdr:nvSpPr>
            <xdr:cNvPr id="1087" name="Check Box 63" hidden="1">
              <a:extLst>
                <a:ext uri="{63B3BB69-23CF-44E3-9099-C40C66FF867C}">
                  <a14:compatExt spid="_x0000_s1087"/>
                </a:ext>
                <a:ext uri="{FF2B5EF4-FFF2-40B4-BE49-F238E27FC236}">
                  <a16:creationId xmlns:a16="http://schemas.microsoft.com/office/drawing/2014/main" id="{00000000-0008-0000-0500-00003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xdr:colOff>
          <xdr:row>61</xdr:row>
          <xdr:rowOff>104775</xdr:rowOff>
        </xdr:from>
        <xdr:to>
          <xdr:col>5</xdr:col>
          <xdr:colOff>9525</xdr:colOff>
          <xdr:row>63</xdr:row>
          <xdr:rowOff>38100</xdr:rowOff>
        </xdr:to>
        <xdr:sp macro="" textlink="">
          <xdr:nvSpPr>
            <xdr:cNvPr id="1089" name="Check Box 65" hidden="1">
              <a:extLst>
                <a:ext uri="{63B3BB69-23CF-44E3-9099-C40C66FF867C}">
                  <a14:compatExt spid="_x0000_s1089"/>
                </a:ext>
                <a:ext uri="{FF2B5EF4-FFF2-40B4-BE49-F238E27FC236}">
                  <a16:creationId xmlns:a16="http://schemas.microsoft.com/office/drawing/2014/main" id="{00000000-0008-0000-0500-00004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xdr:colOff>
          <xdr:row>55</xdr:row>
          <xdr:rowOff>104775</xdr:rowOff>
        </xdr:from>
        <xdr:to>
          <xdr:col>5</xdr:col>
          <xdr:colOff>9525</xdr:colOff>
          <xdr:row>57</xdr:row>
          <xdr:rowOff>38100</xdr:rowOff>
        </xdr:to>
        <xdr:sp macro="" textlink="">
          <xdr:nvSpPr>
            <xdr:cNvPr id="1125" name="Check Box 101" hidden="1">
              <a:extLst>
                <a:ext uri="{63B3BB69-23CF-44E3-9099-C40C66FF867C}">
                  <a14:compatExt spid="_x0000_s1125"/>
                </a:ext>
                <a:ext uri="{FF2B5EF4-FFF2-40B4-BE49-F238E27FC236}">
                  <a16:creationId xmlns:a16="http://schemas.microsoft.com/office/drawing/2014/main" id="{00000000-0008-0000-0500-00006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54</xdr:row>
          <xdr:rowOff>104775</xdr:rowOff>
        </xdr:from>
        <xdr:to>
          <xdr:col>6</xdr:col>
          <xdr:colOff>28575</xdr:colOff>
          <xdr:row>56</xdr:row>
          <xdr:rowOff>38100</xdr:rowOff>
        </xdr:to>
        <xdr:sp macro="" textlink="">
          <xdr:nvSpPr>
            <xdr:cNvPr id="1126" name="Check Box 102" hidden="1">
              <a:extLst>
                <a:ext uri="{63B3BB69-23CF-44E3-9099-C40C66FF867C}">
                  <a14:compatExt spid="_x0000_s1126"/>
                </a:ext>
                <a:ext uri="{FF2B5EF4-FFF2-40B4-BE49-F238E27FC236}">
                  <a16:creationId xmlns:a16="http://schemas.microsoft.com/office/drawing/2014/main" id="{00000000-0008-0000-0500-00006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53</xdr:row>
          <xdr:rowOff>104775</xdr:rowOff>
        </xdr:from>
        <xdr:to>
          <xdr:col>6</xdr:col>
          <xdr:colOff>28575</xdr:colOff>
          <xdr:row>55</xdr:row>
          <xdr:rowOff>38100</xdr:rowOff>
        </xdr:to>
        <xdr:sp macro="" textlink="">
          <xdr:nvSpPr>
            <xdr:cNvPr id="1127" name="Check Box 103" hidden="1">
              <a:extLst>
                <a:ext uri="{63B3BB69-23CF-44E3-9099-C40C66FF867C}">
                  <a14:compatExt spid="_x0000_s1127"/>
                </a:ext>
                <a:ext uri="{FF2B5EF4-FFF2-40B4-BE49-F238E27FC236}">
                  <a16:creationId xmlns:a16="http://schemas.microsoft.com/office/drawing/2014/main" id="{00000000-0008-0000-0500-00006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55</xdr:row>
          <xdr:rowOff>104775</xdr:rowOff>
        </xdr:from>
        <xdr:to>
          <xdr:col>6</xdr:col>
          <xdr:colOff>28575</xdr:colOff>
          <xdr:row>57</xdr:row>
          <xdr:rowOff>38100</xdr:rowOff>
        </xdr:to>
        <xdr:sp macro="" textlink="">
          <xdr:nvSpPr>
            <xdr:cNvPr id="1128" name="Check Box 104" hidden="1">
              <a:extLst>
                <a:ext uri="{63B3BB69-23CF-44E3-9099-C40C66FF867C}">
                  <a14:compatExt spid="_x0000_s1128"/>
                </a:ext>
                <a:ext uri="{FF2B5EF4-FFF2-40B4-BE49-F238E27FC236}">
                  <a16:creationId xmlns:a16="http://schemas.microsoft.com/office/drawing/2014/main" id="{00000000-0008-0000-0500-00006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533400</xdr:colOff>
          <xdr:row>33</xdr:row>
          <xdr:rowOff>104775</xdr:rowOff>
        </xdr:from>
        <xdr:to>
          <xdr:col>2</xdr:col>
          <xdr:colOff>838200</xdr:colOff>
          <xdr:row>35</xdr:row>
          <xdr:rowOff>38100</xdr:rowOff>
        </xdr:to>
        <xdr:sp macro="" textlink="">
          <xdr:nvSpPr>
            <xdr:cNvPr id="1147" name="Check Box 123" hidden="1">
              <a:extLst>
                <a:ext uri="{63B3BB69-23CF-44E3-9099-C40C66FF867C}">
                  <a14:compatExt spid="_x0000_s1147"/>
                </a:ext>
                <a:ext uri="{FF2B5EF4-FFF2-40B4-BE49-F238E27FC236}">
                  <a16:creationId xmlns:a16="http://schemas.microsoft.com/office/drawing/2014/main" id="{00000000-0008-0000-0500-00007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104775</xdr:colOff>
          <xdr:row>54</xdr:row>
          <xdr:rowOff>104775</xdr:rowOff>
        </xdr:from>
        <xdr:to>
          <xdr:col>10</xdr:col>
          <xdr:colOff>409575</xdr:colOff>
          <xdr:row>56</xdr:row>
          <xdr:rowOff>38100</xdr:rowOff>
        </xdr:to>
        <xdr:sp macro="" textlink="">
          <xdr:nvSpPr>
            <xdr:cNvPr id="1199" name="Check Box 175" hidden="1">
              <a:extLst>
                <a:ext uri="{63B3BB69-23CF-44E3-9099-C40C66FF867C}">
                  <a14:compatExt spid="_x0000_s1199"/>
                </a:ext>
                <a:ext uri="{FF2B5EF4-FFF2-40B4-BE49-F238E27FC236}">
                  <a16:creationId xmlns:a16="http://schemas.microsoft.com/office/drawing/2014/main" id="{00000000-0008-0000-0500-0000A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533400</xdr:colOff>
          <xdr:row>55</xdr:row>
          <xdr:rowOff>104775</xdr:rowOff>
        </xdr:from>
        <xdr:to>
          <xdr:col>2</xdr:col>
          <xdr:colOff>838200</xdr:colOff>
          <xdr:row>57</xdr:row>
          <xdr:rowOff>38100</xdr:rowOff>
        </xdr:to>
        <xdr:sp macro="" textlink="">
          <xdr:nvSpPr>
            <xdr:cNvPr id="1200" name="Check Box 176" hidden="1">
              <a:extLst>
                <a:ext uri="{63B3BB69-23CF-44E3-9099-C40C66FF867C}">
                  <a14:compatExt spid="_x0000_s1200"/>
                </a:ext>
                <a:ext uri="{FF2B5EF4-FFF2-40B4-BE49-F238E27FC236}">
                  <a16:creationId xmlns:a16="http://schemas.microsoft.com/office/drawing/2014/main" id="{00000000-0008-0000-0500-0000B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533400</xdr:colOff>
          <xdr:row>58</xdr:row>
          <xdr:rowOff>104775</xdr:rowOff>
        </xdr:from>
        <xdr:to>
          <xdr:col>2</xdr:col>
          <xdr:colOff>838200</xdr:colOff>
          <xdr:row>60</xdr:row>
          <xdr:rowOff>38100</xdr:rowOff>
        </xdr:to>
        <xdr:sp macro="" textlink="">
          <xdr:nvSpPr>
            <xdr:cNvPr id="1201" name="Check Box 177" hidden="1">
              <a:extLst>
                <a:ext uri="{63B3BB69-23CF-44E3-9099-C40C66FF867C}">
                  <a14:compatExt spid="_x0000_s1201"/>
                </a:ext>
                <a:ext uri="{FF2B5EF4-FFF2-40B4-BE49-F238E27FC236}">
                  <a16:creationId xmlns:a16="http://schemas.microsoft.com/office/drawing/2014/main" id="{00000000-0008-0000-0500-0000B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533400</xdr:colOff>
          <xdr:row>76</xdr:row>
          <xdr:rowOff>104775</xdr:rowOff>
        </xdr:from>
        <xdr:to>
          <xdr:col>2</xdr:col>
          <xdr:colOff>838200</xdr:colOff>
          <xdr:row>78</xdr:row>
          <xdr:rowOff>38100</xdr:rowOff>
        </xdr:to>
        <xdr:sp macro="" textlink="">
          <xdr:nvSpPr>
            <xdr:cNvPr id="1298" name="Check Box 274" hidden="1">
              <a:extLst>
                <a:ext uri="{63B3BB69-23CF-44E3-9099-C40C66FF867C}">
                  <a14:compatExt spid="_x0000_s1298"/>
                </a:ext>
                <a:ext uri="{FF2B5EF4-FFF2-40B4-BE49-F238E27FC236}">
                  <a16:creationId xmlns:a16="http://schemas.microsoft.com/office/drawing/2014/main" id="{00000000-0008-0000-0500-00001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533400</xdr:colOff>
          <xdr:row>77</xdr:row>
          <xdr:rowOff>104775</xdr:rowOff>
        </xdr:from>
        <xdr:to>
          <xdr:col>2</xdr:col>
          <xdr:colOff>838200</xdr:colOff>
          <xdr:row>79</xdr:row>
          <xdr:rowOff>38100</xdr:rowOff>
        </xdr:to>
        <xdr:sp macro="" textlink="">
          <xdr:nvSpPr>
            <xdr:cNvPr id="1299" name="Check Box 275" hidden="1">
              <a:extLst>
                <a:ext uri="{63B3BB69-23CF-44E3-9099-C40C66FF867C}">
                  <a14:compatExt spid="_x0000_s1299"/>
                </a:ext>
                <a:ext uri="{FF2B5EF4-FFF2-40B4-BE49-F238E27FC236}">
                  <a16:creationId xmlns:a16="http://schemas.microsoft.com/office/drawing/2014/main" id="{00000000-0008-0000-0500-00001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533400</xdr:colOff>
          <xdr:row>75</xdr:row>
          <xdr:rowOff>104775</xdr:rowOff>
        </xdr:from>
        <xdr:to>
          <xdr:col>2</xdr:col>
          <xdr:colOff>838200</xdr:colOff>
          <xdr:row>77</xdr:row>
          <xdr:rowOff>38100</xdr:rowOff>
        </xdr:to>
        <xdr:sp macro="" textlink="">
          <xdr:nvSpPr>
            <xdr:cNvPr id="1300" name="Check Box 276" hidden="1">
              <a:extLst>
                <a:ext uri="{63B3BB69-23CF-44E3-9099-C40C66FF867C}">
                  <a14:compatExt spid="_x0000_s1300"/>
                </a:ext>
                <a:ext uri="{FF2B5EF4-FFF2-40B4-BE49-F238E27FC236}">
                  <a16:creationId xmlns:a16="http://schemas.microsoft.com/office/drawing/2014/main" id="{00000000-0008-0000-0500-00001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57150</xdr:colOff>
          <xdr:row>55</xdr:row>
          <xdr:rowOff>104775</xdr:rowOff>
        </xdr:from>
        <xdr:to>
          <xdr:col>9</xdr:col>
          <xdr:colOff>28575</xdr:colOff>
          <xdr:row>57</xdr:row>
          <xdr:rowOff>38100</xdr:rowOff>
        </xdr:to>
        <xdr:sp macro="" textlink="">
          <xdr:nvSpPr>
            <xdr:cNvPr id="1385" name="Check Box 361" hidden="1">
              <a:extLst>
                <a:ext uri="{63B3BB69-23CF-44E3-9099-C40C66FF867C}">
                  <a14:compatExt spid="_x0000_s1385"/>
                </a:ext>
                <a:ext uri="{FF2B5EF4-FFF2-40B4-BE49-F238E27FC236}">
                  <a16:creationId xmlns:a16="http://schemas.microsoft.com/office/drawing/2014/main" id="{00000000-0008-0000-0500-00006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57150</xdr:colOff>
          <xdr:row>53</xdr:row>
          <xdr:rowOff>104775</xdr:rowOff>
        </xdr:from>
        <xdr:to>
          <xdr:col>9</xdr:col>
          <xdr:colOff>28575</xdr:colOff>
          <xdr:row>55</xdr:row>
          <xdr:rowOff>38100</xdr:rowOff>
        </xdr:to>
        <xdr:sp macro="" textlink="">
          <xdr:nvSpPr>
            <xdr:cNvPr id="1386" name="Check Box 362" hidden="1">
              <a:extLst>
                <a:ext uri="{63B3BB69-23CF-44E3-9099-C40C66FF867C}">
                  <a14:compatExt spid="_x0000_s1386"/>
                </a:ext>
                <a:ext uri="{FF2B5EF4-FFF2-40B4-BE49-F238E27FC236}">
                  <a16:creationId xmlns:a16="http://schemas.microsoft.com/office/drawing/2014/main" id="{00000000-0008-0000-0500-00006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57150</xdr:colOff>
          <xdr:row>54</xdr:row>
          <xdr:rowOff>104775</xdr:rowOff>
        </xdr:from>
        <xdr:to>
          <xdr:col>9</xdr:col>
          <xdr:colOff>28575</xdr:colOff>
          <xdr:row>56</xdr:row>
          <xdr:rowOff>38100</xdr:rowOff>
        </xdr:to>
        <xdr:sp macro="" textlink="">
          <xdr:nvSpPr>
            <xdr:cNvPr id="1387" name="Check Box 363" hidden="1">
              <a:extLst>
                <a:ext uri="{63B3BB69-23CF-44E3-9099-C40C66FF867C}">
                  <a14:compatExt spid="_x0000_s1387"/>
                </a:ext>
                <a:ext uri="{FF2B5EF4-FFF2-40B4-BE49-F238E27FC236}">
                  <a16:creationId xmlns:a16="http://schemas.microsoft.com/office/drawing/2014/main" id="{00000000-0008-0000-0500-00006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57150</xdr:colOff>
          <xdr:row>56</xdr:row>
          <xdr:rowOff>104775</xdr:rowOff>
        </xdr:from>
        <xdr:to>
          <xdr:col>9</xdr:col>
          <xdr:colOff>28575</xdr:colOff>
          <xdr:row>58</xdr:row>
          <xdr:rowOff>38100</xdr:rowOff>
        </xdr:to>
        <xdr:sp macro="" textlink="">
          <xdr:nvSpPr>
            <xdr:cNvPr id="1389" name="Check Box 365" hidden="1">
              <a:extLst>
                <a:ext uri="{63B3BB69-23CF-44E3-9099-C40C66FF867C}">
                  <a14:compatExt spid="_x0000_s1389"/>
                </a:ext>
                <a:ext uri="{FF2B5EF4-FFF2-40B4-BE49-F238E27FC236}">
                  <a16:creationId xmlns:a16="http://schemas.microsoft.com/office/drawing/2014/main" id="{00000000-0008-0000-0500-00006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104775</xdr:colOff>
          <xdr:row>75</xdr:row>
          <xdr:rowOff>104775</xdr:rowOff>
        </xdr:from>
        <xdr:to>
          <xdr:col>5</xdr:col>
          <xdr:colOff>0</xdr:colOff>
          <xdr:row>77</xdr:row>
          <xdr:rowOff>38100</xdr:rowOff>
        </xdr:to>
        <xdr:sp macro="" textlink="">
          <xdr:nvSpPr>
            <xdr:cNvPr id="1392" name="Check Box 368" hidden="1">
              <a:extLst>
                <a:ext uri="{63B3BB69-23CF-44E3-9099-C40C66FF867C}">
                  <a14:compatExt spid="_x0000_s1392"/>
                </a:ext>
                <a:ext uri="{FF2B5EF4-FFF2-40B4-BE49-F238E27FC236}">
                  <a16:creationId xmlns:a16="http://schemas.microsoft.com/office/drawing/2014/main" id="{00000000-0008-0000-0500-00007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104775</xdr:colOff>
          <xdr:row>78</xdr:row>
          <xdr:rowOff>104775</xdr:rowOff>
        </xdr:from>
        <xdr:to>
          <xdr:col>5</xdr:col>
          <xdr:colOff>0</xdr:colOff>
          <xdr:row>80</xdr:row>
          <xdr:rowOff>38100</xdr:rowOff>
        </xdr:to>
        <xdr:sp macro="" textlink="">
          <xdr:nvSpPr>
            <xdr:cNvPr id="1400" name="Check Box 376" hidden="1">
              <a:extLst>
                <a:ext uri="{63B3BB69-23CF-44E3-9099-C40C66FF867C}">
                  <a14:compatExt spid="_x0000_s1400"/>
                </a:ext>
                <a:ext uri="{FF2B5EF4-FFF2-40B4-BE49-F238E27FC236}">
                  <a16:creationId xmlns:a16="http://schemas.microsoft.com/office/drawing/2014/main" id="{00000000-0008-0000-0500-00007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104775</xdr:colOff>
          <xdr:row>69</xdr:row>
          <xdr:rowOff>104775</xdr:rowOff>
        </xdr:from>
        <xdr:to>
          <xdr:col>5</xdr:col>
          <xdr:colOff>0</xdr:colOff>
          <xdr:row>71</xdr:row>
          <xdr:rowOff>38100</xdr:rowOff>
        </xdr:to>
        <xdr:sp macro="" textlink="">
          <xdr:nvSpPr>
            <xdr:cNvPr id="1404" name="Check Box 380" hidden="1">
              <a:extLst>
                <a:ext uri="{63B3BB69-23CF-44E3-9099-C40C66FF867C}">
                  <a14:compatExt spid="_x0000_s1404"/>
                </a:ext>
                <a:ext uri="{FF2B5EF4-FFF2-40B4-BE49-F238E27FC236}">
                  <a16:creationId xmlns:a16="http://schemas.microsoft.com/office/drawing/2014/main" id="{00000000-0008-0000-0500-00007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104775</xdr:colOff>
          <xdr:row>70</xdr:row>
          <xdr:rowOff>104775</xdr:rowOff>
        </xdr:from>
        <xdr:to>
          <xdr:col>5</xdr:col>
          <xdr:colOff>0</xdr:colOff>
          <xdr:row>72</xdr:row>
          <xdr:rowOff>38100</xdr:rowOff>
        </xdr:to>
        <xdr:sp macro="" textlink="">
          <xdr:nvSpPr>
            <xdr:cNvPr id="1405" name="Check Box 381" hidden="1">
              <a:extLst>
                <a:ext uri="{63B3BB69-23CF-44E3-9099-C40C66FF867C}">
                  <a14:compatExt spid="_x0000_s1405"/>
                </a:ext>
                <a:ext uri="{FF2B5EF4-FFF2-40B4-BE49-F238E27FC236}">
                  <a16:creationId xmlns:a16="http://schemas.microsoft.com/office/drawing/2014/main" id="{00000000-0008-0000-0500-00007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104775</xdr:colOff>
          <xdr:row>71</xdr:row>
          <xdr:rowOff>104775</xdr:rowOff>
        </xdr:from>
        <xdr:to>
          <xdr:col>5</xdr:col>
          <xdr:colOff>0</xdr:colOff>
          <xdr:row>73</xdr:row>
          <xdr:rowOff>38100</xdr:rowOff>
        </xdr:to>
        <xdr:sp macro="" textlink="">
          <xdr:nvSpPr>
            <xdr:cNvPr id="1411" name="Check Box 387" hidden="1">
              <a:extLst>
                <a:ext uri="{63B3BB69-23CF-44E3-9099-C40C66FF867C}">
                  <a14:compatExt spid="_x0000_s1411"/>
                </a:ext>
                <a:ext uri="{FF2B5EF4-FFF2-40B4-BE49-F238E27FC236}">
                  <a16:creationId xmlns:a16="http://schemas.microsoft.com/office/drawing/2014/main" id="{00000000-0008-0000-0500-00008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xdr:colOff>
          <xdr:row>67</xdr:row>
          <xdr:rowOff>104775</xdr:rowOff>
        </xdr:from>
        <xdr:to>
          <xdr:col>5</xdr:col>
          <xdr:colOff>9525</xdr:colOff>
          <xdr:row>69</xdr:row>
          <xdr:rowOff>38100</xdr:rowOff>
        </xdr:to>
        <xdr:sp macro="" textlink="">
          <xdr:nvSpPr>
            <xdr:cNvPr id="1414" name="Check Box 390" hidden="1">
              <a:extLst>
                <a:ext uri="{63B3BB69-23CF-44E3-9099-C40C66FF867C}">
                  <a14:compatExt spid="_x0000_s1414"/>
                </a:ext>
                <a:ext uri="{FF2B5EF4-FFF2-40B4-BE49-F238E27FC236}">
                  <a16:creationId xmlns:a16="http://schemas.microsoft.com/office/drawing/2014/main" id="{00000000-0008-0000-0500-00008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104775</xdr:colOff>
          <xdr:row>72</xdr:row>
          <xdr:rowOff>104775</xdr:rowOff>
        </xdr:from>
        <xdr:to>
          <xdr:col>5</xdr:col>
          <xdr:colOff>0</xdr:colOff>
          <xdr:row>74</xdr:row>
          <xdr:rowOff>38100</xdr:rowOff>
        </xdr:to>
        <xdr:sp macro="" textlink="">
          <xdr:nvSpPr>
            <xdr:cNvPr id="1418" name="Check Box 394" hidden="1">
              <a:extLst>
                <a:ext uri="{63B3BB69-23CF-44E3-9099-C40C66FF867C}">
                  <a14:compatExt spid="_x0000_s1418"/>
                </a:ext>
                <a:ext uri="{FF2B5EF4-FFF2-40B4-BE49-F238E27FC236}">
                  <a16:creationId xmlns:a16="http://schemas.microsoft.com/office/drawing/2014/main" id="{00000000-0008-0000-0500-00008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104775</xdr:colOff>
          <xdr:row>73</xdr:row>
          <xdr:rowOff>104775</xdr:rowOff>
        </xdr:from>
        <xdr:to>
          <xdr:col>5</xdr:col>
          <xdr:colOff>0</xdr:colOff>
          <xdr:row>75</xdr:row>
          <xdr:rowOff>38100</xdr:rowOff>
        </xdr:to>
        <xdr:sp macro="" textlink="">
          <xdr:nvSpPr>
            <xdr:cNvPr id="1419" name="Check Box 395" hidden="1">
              <a:extLst>
                <a:ext uri="{63B3BB69-23CF-44E3-9099-C40C66FF867C}">
                  <a14:compatExt spid="_x0000_s1419"/>
                </a:ext>
                <a:ext uri="{FF2B5EF4-FFF2-40B4-BE49-F238E27FC236}">
                  <a16:creationId xmlns:a16="http://schemas.microsoft.com/office/drawing/2014/main" id="{00000000-0008-0000-0500-00008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533400</xdr:colOff>
          <xdr:row>73</xdr:row>
          <xdr:rowOff>104775</xdr:rowOff>
        </xdr:from>
        <xdr:to>
          <xdr:col>2</xdr:col>
          <xdr:colOff>838200</xdr:colOff>
          <xdr:row>75</xdr:row>
          <xdr:rowOff>38100</xdr:rowOff>
        </xdr:to>
        <xdr:sp macro="" textlink="">
          <xdr:nvSpPr>
            <xdr:cNvPr id="1433" name="Check Box 409" hidden="1">
              <a:extLst>
                <a:ext uri="{63B3BB69-23CF-44E3-9099-C40C66FF867C}">
                  <a14:compatExt spid="_x0000_s1433"/>
                </a:ext>
                <a:ext uri="{FF2B5EF4-FFF2-40B4-BE49-F238E27FC236}">
                  <a16:creationId xmlns:a16="http://schemas.microsoft.com/office/drawing/2014/main" id="{00000000-0008-0000-0500-00009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104775</xdr:colOff>
          <xdr:row>79</xdr:row>
          <xdr:rowOff>104775</xdr:rowOff>
        </xdr:from>
        <xdr:to>
          <xdr:col>5</xdr:col>
          <xdr:colOff>0</xdr:colOff>
          <xdr:row>81</xdr:row>
          <xdr:rowOff>38100</xdr:rowOff>
        </xdr:to>
        <xdr:sp macro="" textlink="">
          <xdr:nvSpPr>
            <xdr:cNvPr id="1440" name="Check Box 416" hidden="1">
              <a:extLst>
                <a:ext uri="{63B3BB69-23CF-44E3-9099-C40C66FF867C}">
                  <a14:compatExt spid="_x0000_s1440"/>
                </a:ext>
                <a:ext uri="{FF2B5EF4-FFF2-40B4-BE49-F238E27FC236}">
                  <a16:creationId xmlns:a16="http://schemas.microsoft.com/office/drawing/2014/main" id="{00000000-0008-0000-0500-0000A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104775</xdr:colOff>
          <xdr:row>53</xdr:row>
          <xdr:rowOff>104775</xdr:rowOff>
        </xdr:from>
        <xdr:to>
          <xdr:col>10</xdr:col>
          <xdr:colOff>409575</xdr:colOff>
          <xdr:row>55</xdr:row>
          <xdr:rowOff>38100</xdr:rowOff>
        </xdr:to>
        <xdr:sp macro="" textlink="">
          <xdr:nvSpPr>
            <xdr:cNvPr id="1451" name="Check Box 427" hidden="1">
              <a:extLst>
                <a:ext uri="{63B3BB69-23CF-44E3-9099-C40C66FF867C}">
                  <a14:compatExt spid="_x0000_s1451"/>
                </a:ext>
                <a:ext uri="{FF2B5EF4-FFF2-40B4-BE49-F238E27FC236}">
                  <a16:creationId xmlns:a16="http://schemas.microsoft.com/office/drawing/2014/main" id="{00000000-0008-0000-0500-0000A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xdr:colOff>
          <xdr:row>64</xdr:row>
          <xdr:rowOff>104775</xdr:rowOff>
        </xdr:from>
        <xdr:to>
          <xdr:col>5</xdr:col>
          <xdr:colOff>9525</xdr:colOff>
          <xdr:row>66</xdr:row>
          <xdr:rowOff>38100</xdr:rowOff>
        </xdr:to>
        <xdr:sp macro="" textlink="">
          <xdr:nvSpPr>
            <xdr:cNvPr id="1464" name="Check Box 440" hidden="1">
              <a:extLst>
                <a:ext uri="{63B3BB69-23CF-44E3-9099-C40C66FF867C}">
                  <a14:compatExt spid="_x0000_s1464"/>
                </a:ext>
                <a:ext uri="{FF2B5EF4-FFF2-40B4-BE49-F238E27FC236}">
                  <a16:creationId xmlns:a16="http://schemas.microsoft.com/office/drawing/2014/main" id="{00000000-0008-0000-0500-0000B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114300</xdr:colOff>
          <xdr:row>63</xdr:row>
          <xdr:rowOff>104775</xdr:rowOff>
        </xdr:from>
        <xdr:to>
          <xdr:col>5</xdr:col>
          <xdr:colOff>9525</xdr:colOff>
          <xdr:row>65</xdr:row>
          <xdr:rowOff>38100</xdr:rowOff>
        </xdr:to>
        <xdr:sp macro="" textlink="">
          <xdr:nvSpPr>
            <xdr:cNvPr id="1465" name="Check Box 441" hidden="1">
              <a:extLst>
                <a:ext uri="{63B3BB69-23CF-44E3-9099-C40C66FF867C}">
                  <a14:compatExt spid="_x0000_s1465"/>
                </a:ext>
                <a:ext uri="{FF2B5EF4-FFF2-40B4-BE49-F238E27FC236}">
                  <a16:creationId xmlns:a16="http://schemas.microsoft.com/office/drawing/2014/main" id="{00000000-0008-0000-0500-0000B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104775</xdr:colOff>
          <xdr:row>80</xdr:row>
          <xdr:rowOff>95250</xdr:rowOff>
        </xdr:from>
        <xdr:to>
          <xdr:col>5</xdr:col>
          <xdr:colOff>0</xdr:colOff>
          <xdr:row>82</xdr:row>
          <xdr:rowOff>28575</xdr:rowOff>
        </xdr:to>
        <xdr:sp macro="" textlink="">
          <xdr:nvSpPr>
            <xdr:cNvPr id="1469" name="Check Box 445" hidden="1">
              <a:extLst>
                <a:ext uri="{63B3BB69-23CF-44E3-9099-C40C66FF867C}">
                  <a14:compatExt spid="_x0000_s1469"/>
                </a:ext>
                <a:ext uri="{FF2B5EF4-FFF2-40B4-BE49-F238E27FC236}">
                  <a16:creationId xmlns:a16="http://schemas.microsoft.com/office/drawing/2014/main" id="{00000000-0008-0000-0500-0000B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57150</xdr:colOff>
          <xdr:row>57</xdr:row>
          <xdr:rowOff>104775</xdr:rowOff>
        </xdr:from>
        <xdr:to>
          <xdr:col>9</xdr:col>
          <xdr:colOff>28575</xdr:colOff>
          <xdr:row>59</xdr:row>
          <xdr:rowOff>38100</xdr:rowOff>
        </xdr:to>
        <xdr:sp macro="" textlink="">
          <xdr:nvSpPr>
            <xdr:cNvPr id="1474" name="Check Box 450" hidden="1">
              <a:extLst>
                <a:ext uri="{63B3BB69-23CF-44E3-9099-C40C66FF867C}">
                  <a14:compatExt spid="_x0000_s1474"/>
                </a:ext>
                <a:ext uri="{FF2B5EF4-FFF2-40B4-BE49-F238E27FC236}">
                  <a16:creationId xmlns:a16="http://schemas.microsoft.com/office/drawing/2014/main" id="{00000000-0008-0000-0500-0000C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2.xml"/><Relationship Id="rId3" Type="http://schemas.openxmlformats.org/officeDocument/2006/relationships/hyperlink" Target="https://drive.google.com/open?id=0B0K52-VEkRDTeWI3U3V2LTVVYUk" TargetMode="External"/><Relationship Id="rId7" Type="http://schemas.openxmlformats.org/officeDocument/2006/relationships/ctrlProp" Target="../ctrlProps/ctrlProp1.xml"/><Relationship Id="rId2" Type="http://schemas.openxmlformats.org/officeDocument/2006/relationships/hyperlink" Target="https://forum.lightshope.org/viewtopic.php?f=24&amp;t=3716" TargetMode="External"/><Relationship Id="rId1" Type="http://schemas.openxmlformats.org/officeDocument/2006/relationships/hyperlink" Target="https://discord.gg/dSHv6Vd"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6" Type="http://schemas.openxmlformats.org/officeDocument/2006/relationships/ctrlProp" Target="../ctrlProps/ctrlProp25.xml"/><Relationship Id="rId21" Type="http://schemas.openxmlformats.org/officeDocument/2006/relationships/ctrlProp" Target="../ctrlProps/ctrlProp20.xml"/><Relationship Id="rId42" Type="http://schemas.openxmlformats.org/officeDocument/2006/relationships/ctrlProp" Target="../ctrlProps/ctrlProp41.xml"/><Relationship Id="rId47" Type="http://schemas.openxmlformats.org/officeDocument/2006/relationships/ctrlProp" Target="../ctrlProps/ctrlProp46.xml"/><Relationship Id="rId63" Type="http://schemas.openxmlformats.org/officeDocument/2006/relationships/ctrlProp" Target="../ctrlProps/ctrlProp62.xml"/><Relationship Id="rId68" Type="http://schemas.openxmlformats.org/officeDocument/2006/relationships/ctrlProp" Target="../ctrlProps/ctrlProp67.xml"/><Relationship Id="rId7" Type="http://schemas.openxmlformats.org/officeDocument/2006/relationships/ctrlProp" Target="../ctrlProps/ctrlProp6.xml"/><Relationship Id="rId2" Type="http://schemas.openxmlformats.org/officeDocument/2006/relationships/drawing" Target="../drawings/drawing2.xml"/><Relationship Id="rId16" Type="http://schemas.openxmlformats.org/officeDocument/2006/relationships/ctrlProp" Target="../ctrlProps/ctrlProp15.xml"/><Relationship Id="rId29" Type="http://schemas.openxmlformats.org/officeDocument/2006/relationships/ctrlProp" Target="../ctrlProps/ctrlProp28.xml"/><Relationship Id="rId11" Type="http://schemas.openxmlformats.org/officeDocument/2006/relationships/ctrlProp" Target="../ctrlProps/ctrlProp10.xml"/><Relationship Id="rId24" Type="http://schemas.openxmlformats.org/officeDocument/2006/relationships/ctrlProp" Target="../ctrlProps/ctrlProp23.xml"/><Relationship Id="rId32" Type="http://schemas.openxmlformats.org/officeDocument/2006/relationships/ctrlProp" Target="../ctrlProps/ctrlProp31.xml"/><Relationship Id="rId37" Type="http://schemas.openxmlformats.org/officeDocument/2006/relationships/ctrlProp" Target="../ctrlProps/ctrlProp36.xml"/><Relationship Id="rId40" Type="http://schemas.openxmlformats.org/officeDocument/2006/relationships/ctrlProp" Target="../ctrlProps/ctrlProp39.xml"/><Relationship Id="rId45" Type="http://schemas.openxmlformats.org/officeDocument/2006/relationships/ctrlProp" Target="../ctrlProps/ctrlProp44.xml"/><Relationship Id="rId53" Type="http://schemas.openxmlformats.org/officeDocument/2006/relationships/ctrlProp" Target="../ctrlProps/ctrlProp52.xml"/><Relationship Id="rId58" Type="http://schemas.openxmlformats.org/officeDocument/2006/relationships/ctrlProp" Target="../ctrlProps/ctrlProp57.xml"/><Relationship Id="rId66" Type="http://schemas.openxmlformats.org/officeDocument/2006/relationships/ctrlProp" Target="../ctrlProps/ctrlProp65.xml"/><Relationship Id="rId5" Type="http://schemas.openxmlformats.org/officeDocument/2006/relationships/ctrlProp" Target="../ctrlProps/ctrlProp4.xml"/><Relationship Id="rId61" Type="http://schemas.openxmlformats.org/officeDocument/2006/relationships/ctrlProp" Target="../ctrlProps/ctrlProp60.xml"/><Relationship Id="rId19" Type="http://schemas.openxmlformats.org/officeDocument/2006/relationships/ctrlProp" Target="../ctrlProps/ctrlProp18.xml"/><Relationship Id="rId14" Type="http://schemas.openxmlformats.org/officeDocument/2006/relationships/ctrlProp" Target="../ctrlProps/ctrlProp13.xml"/><Relationship Id="rId22" Type="http://schemas.openxmlformats.org/officeDocument/2006/relationships/ctrlProp" Target="../ctrlProps/ctrlProp21.xml"/><Relationship Id="rId27" Type="http://schemas.openxmlformats.org/officeDocument/2006/relationships/ctrlProp" Target="../ctrlProps/ctrlProp26.xml"/><Relationship Id="rId30" Type="http://schemas.openxmlformats.org/officeDocument/2006/relationships/ctrlProp" Target="../ctrlProps/ctrlProp29.xml"/><Relationship Id="rId35" Type="http://schemas.openxmlformats.org/officeDocument/2006/relationships/ctrlProp" Target="../ctrlProps/ctrlProp34.xml"/><Relationship Id="rId43" Type="http://schemas.openxmlformats.org/officeDocument/2006/relationships/ctrlProp" Target="../ctrlProps/ctrlProp42.xml"/><Relationship Id="rId48" Type="http://schemas.openxmlformats.org/officeDocument/2006/relationships/ctrlProp" Target="../ctrlProps/ctrlProp47.xml"/><Relationship Id="rId56" Type="http://schemas.openxmlformats.org/officeDocument/2006/relationships/ctrlProp" Target="../ctrlProps/ctrlProp55.xml"/><Relationship Id="rId64" Type="http://schemas.openxmlformats.org/officeDocument/2006/relationships/ctrlProp" Target="../ctrlProps/ctrlProp63.xml"/><Relationship Id="rId69" Type="http://schemas.openxmlformats.org/officeDocument/2006/relationships/ctrlProp" Target="../ctrlProps/ctrlProp68.xml"/><Relationship Id="rId8" Type="http://schemas.openxmlformats.org/officeDocument/2006/relationships/ctrlProp" Target="../ctrlProps/ctrlProp7.xml"/><Relationship Id="rId51" Type="http://schemas.openxmlformats.org/officeDocument/2006/relationships/ctrlProp" Target="../ctrlProps/ctrlProp50.xml"/><Relationship Id="rId3" Type="http://schemas.openxmlformats.org/officeDocument/2006/relationships/vmlDrawing" Target="../drawings/vmlDrawing2.vml"/><Relationship Id="rId12" Type="http://schemas.openxmlformats.org/officeDocument/2006/relationships/ctrlProp" Target="../ctrlProps/ctrlProp11.xml"/><Relationship Id="rId17" Type="http://schemas.openxmlformats.org/officeDocument/2006/relationships/ctrlProp" Target="../ctrlProps/ctrlProp16.xml"/><Relationship Id="rId25" Type="http://schemas.openxmlformats.org/officeDocument/2006/relationships/ctrlProp" Target="../ctrlProps/ctrlProp24.xml"/><Relationship Id="rId33" Type="http://schemas.openxmlformats.org/officeDocument/2006/relationships/ctrlProp" Target="../ctrlProps/ctrlProp32.xml"/><Relationship Id="rId38" Type="http://schemas.openxmlformats.org/officeDocument/2006/relationships/ctrlProp" Target="../ctrlProps/ctrlProp37.xml"/><Relationship Id="rId46" Type="http://schemas.openxmlformats.org/officeDocument/2006/relationships/ctrlProp" Target="../ctrlProps/ctrlProp45.xml"/><Relationship Id="rId59" Type="http://schemas.openxmlformats.org/officeDocument/2006/relationships/ctrlProp" Target="../ctrlProps/ctrlProp58.xml"/><Relationship Id="rId67" Type="http://schemas.openxmlformats.org/officeDocument/2006/relationships/ctrlProp" Target="../ctrlProps/ctrlProp66.xml"/><Relationship Id="rId20" Type="http://schemas.openxmlformats.org/officeDocument/2006/relationships/ctrlProp" Target="../ctrlProps/ctrlProp19.xml"/><Relationship Id="rId41" Type="http://schemas.openxmlformats.org/officeDocument/2006/relationships/ctrlProp" Target="../ctrlProps/ctrlProp40.xml"/><Relationship Id="rId54" Type="http://schemas.openxmlformats.org/officeDocument/2006/relationships/ctrlProp" Target="../ctrlProps/ctrlProp53.xml"/><Relationship Id="rId62" Type="http://schemas.openxmlformats.org/officeDocument/2006/relationships/ctrlProp" Target="../ctrlProps/ctrlProp61.xml"/><Relationship Id="rId70" Type="http://schemas.openxmlformats.org/officeDocument/2006/relationships/ctrlProp" Target="../ctrlProps/ctrlProp69.xml"/><Relationship Id="rId1" Type="http://schemas.openxmlformats.org/officeDocument/2006/relationships/printerSettings" Target="../printerSettings/printerSettings5.bin"/><Relationship Id="rId6" Type="http://schemas.openxmlformats.org/officeDocument/2006/relationships/ctrlProp" Target="../ctrlProps/ctrlProp5.xml"/><Relationship Id="rId15" Type="http://schemas.openxmlformats.org/officeDocument/2006/relationships/ctrlProp" Target="../ctrlProps/ctrlProp14.xml"/><Relationship Id="rId23" Type="http://schemas.openxmlformats.org/officeDocument/2006/relationships/ctrlProp" Target="../ctrlProps/ctrlProp22.xml"/><Relationship Id="rId28" Type="http://schemas.openxmlformats.org/officeDocument/2006/relationships/ctrlProp" Target="../ctrlProps/ctrlProp27.xml"/><Relationship Id="rId36" Type="http://schemas.openxmlformats.org/officeDocument/2006/relationships/ctrlProp" Target="../ctrlProps/ctrlProp35.xml"/><Relationship Id="rId49" Type="http://schemas.openxmlformats.org/officeDocument/2006/relationships/ctrlProp" Target="../ctrlProps/ctrlProp48.xml"/><Relationship Id="rId57" Type="http://schemas.openxmlformats.org/officeDocument/2006/relationships/ctrlProp" Target="../ctrlProps/ctrlProp56.xml"/><Relationship Id="rId10" Type="http://schemas.openxmlformats.org/officeDocument/2006/relationships/ctrlProp" Target="../ctrlProps/ctrlProp9.xml"/><Relationship Id="rId31" Type="http://schemas.openxmlformats.org/officeDocument/2006/relationships/ctrlProp" Target="../ctrlProps/ctrlProp30.xml"/><Relationship Id="rId44" Type="http://schemas.openxmlformats.org/officeDocument/2006/relationships/ctrlProp" Target="../ctrlProps/ctrlProp43.xml"/><Relationship Id="rId52" Type="http://schemas.openxmlformats.org/officeDocument/2006/relationships/ctrlProp" Target="../ctrlProps/ctrlProp51.xml"/><Relationship Id="rId60" Type="http://schemas.openxmlformats.org/officeDocument/2006/relationships/ctrlProp" Target="../ctrlProps/ctrlProp59.xml"/><Relationship Id="rId65" Type="http://schemas.openxmlformats.org/officeDocument/2006/relationships/ctrlProp" Target="../ctrlProps/ctrlProp64.xml"/><Relationship Id="rId4" Type="http://schemas.openxmlformats.org/officeDocument/2006/relationships/ctrlProp" Target="../ctrlProps/ctrlProp3.xml"/><Relationship Id="rId9" Type="http://schemas.openxmlformats.org/officeDocument/2006/relationships/ctrlProp" Target="../ctrlProps/ctrlProp8.xml"/><Relationship Id="rId13" Type="http://schemas.openxmlformats.org/officeDocument/2006/relationships/ctrlProp" Target="../ctrlProps/ctrlProp12.xml"/><Relationship Id="rId18" Type="http://schemas.openxmlformats.org/officeDocument/2006/relationships/ctrlProp" Target="../ctrlProps/ctrlProp17.xml"/><Relationship Id="rId39" Type="http://schemas.openxmlformats.org/officeDocument/2006/relationships/ctrlProp" Target="../ctrlProps/ctrlProp38.xml"/><Relationship Id="rId34" Type="http://schemas.openxmlformats.org/officeDocument/2006/relationships/ctrlProp" Target="../ctrlProps/ctrlProp33.xml"/><Relationship Id="rId50" Type="http://schemas.openxmlformats.org/officeDocument/2006/relationships/ctrlProp" Target="../ctrlProps/ctrlProp49.xml"/><Relationship Id="rId55" Type="http://schemas.openxmlformats.org/officeDocument/2006/relationships/ctrlProp" Target="../ctrlProps/ctrlProp5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N38"/>
  <sheetViews>
    <sheetView showGridLines="0" workbookViewId="0">
      <selection activeCell="E17" sqref="E17"/>
    </sheetView>
  </sheetViews>
  <sheetFormatPr defaultRowHeight="11.25" x14ac:dyDescent="0.2"/>
  <cols>
    <col min="1" max="1" width="13.7109375" style="2" bestFit="1" customWidth="1"/>
    <col min="2" max="2" width="28.85546875" style="2" customWidth="1"/>
    <col min="3" max="3" width="20.85546875" style="2" customWidth="1"/>
    <col min="4" max="5" width="9.140625" style="2"/>
    <col min="6" max="6" width="6" style="2" customWidth="1"/>
    <col min="7" max="7" width="16.28515625" style="2" customWidth="1"/>
    <col min="8" max="16384" width="9.140625" style="2"/>
  </cols>
  <sheetData>
    <row r="1" spans="1:14" ht="15" x14ac:dyDescent="0.2">
      <c r="A1" s="1"/>
      <c r="C1" s="85"/>
      <c r="D1" s="85"/>
      <c r="E1" s="85"/>
      <c r="F1" s="85"/>
      <c r="G1" s="85"/>
      <c r="H1" s="85"/>
      <c r="I1" s="85"/>
      <c r="J1" s="85"/>
      <c r="K1" s="85"/>
      <c r="L1" s="85"/>
      <c r="M1" s="85"/>
      <c r="N1" s="85"/>
    </row>
    <row r="2" spans="1:14" ht="15.75" x14ac:dyDescent="0.25">
      <c r="A2" s="1"/>
      <c r="B2" s="86" t="s">
        <v>1151</v>
      </c>
      <c r="C2" s="85" t="s">
        <v>1235</v>
      </c>
      <c r="D2" s="85"/>
      <c r="E2" s="85"/>
      <c r="F2" s="85"/>
      <c r="G2" s="85"/>
      <c r="H2" s="85"/>
      <c r="I2" s="85"/>
      <c r="J2" s="85"/>
      <c r="K2" s="85"/>
      <c r="L2" s="85"/>
      <c r="M2" s="85"/>
      <c r="N2" s="85"/>
    </row>
    <row r="3" spans="1:14" ht="15.75" x14ac:dyDescent="0.25">
      <c r="A3" s="1"/>
      <c r="B3" s="86" t="s">
        <v>1058</v>
      </c>
      <c r="C3" s="85" t="s">
        <v>1063</v>
      </c>
      <c r="D3" s="85"/>
      <c r="E3" s="85"/>
      <c r="F3" s="85"/>
      <c r="G3" s="85"/>
      <c r="H3" s="85"/>
      <c r="I3" s="85"/>
      <c r="J3" s="85"/>
      <c r="K3" s="85"/>
      <c r="L3" s="85"/>
      <c r="M3" s="85"/>
      <c r="N3" s="85"/>
    </row>
    <row r="4" spans="1:14" ht="15.75" x14ac:dyDescent="0.25">
      <c r="A4" s="1"/>
      <c r="B4" s="86" t="s">
        <v>1060</v>
      </c>
      <c r="C4" s="85" t="s">
        <v>1237</v>
      </c>
      <c r="D4" s="85"/>
      <c r="E4" s="85"/>
      <c r="F4" s="85"/>
      <c r="G4" s="85"/>
      <c r="H4" s="85"/>
      <c r="I4" s="85"/>
      <c r="J4" s="85"/>
      <c r="K4" s="85"/>
      <c r="L4" s="85"/>
      <c r="M4" s="85"/>
      <c r="N4" s="85"/>
    </row>
    <row r="5" spans="1:14" ht="15.75" x14ac:dyDescent="0.25">
      <c r="A5" s="1"/>
      <c r="B5" s="86" t="s">
        <v>1079</v>
      </c>
      <c r="C5" s="85" t="s">
        <v>1130</v>
      </c>
      <c r="D5" s="85"/>
      <c r="E5" s="85"/>
      <c r="F5" s="85"/>
      <c r="G5" s="136"/>
      <c r="H5" s="136"/>
      <c r="I5" s="85"/>
      <c r="J5" s="85"/>
      <c r="K5" s="85"/>
      <c r="L5" s="85"/>
      <c r="M5" s="85"/>
      <c r="N5" s="85"/>
    </row>
    <row r="6" spans="1:14" ht="15.75" x14ac:dyDescent="0.25">
      <c r="A6" s="1"/>
      <c r="B6" s="86" t="s">
        <v>37</v>
      </c>
      <c r="C6" s="85" t="s">
        <v>1134</v>
      </c>
      <c r="D6" s="85"/>
      <c r="E6" s="85"/>
      <c r="F6" s="85"/>
      <c r="G6" s="85"/>
      <c r="H6" s="85"/>
      <c r="I6" s="85"/>
      <c r="J6" s="85"/>
      <c r="K6" s="85"/>
      <c r="L6" s="85"/>
      <c r="M6" s="85"/>
      <c r="N6" s="85"/>
    </row>
    <row r="7" spans="1:14" ht="15.75" x14ac:dyDescent="0.25">
      <c r="A7" s="1"/>
      <c r="B7" s="86" t="s">
        <v>1096</v>
      </c>
      <c r="C7" s="85" t="s">
        <v>1236</v>
      </c>
      <c r="D7" s="85"/>
      <c r="E7" s="85"/>
      <c r="F7" s="85"/>
      <c r="G7" s="85"/>
      <c r="H7" s="85"/>
      <c r="I7" s="85"/>
      <c r="J7" s="85"/>
      <c r="K7" s="85"/>
      <c r="L7" s="85"/>
      <c r="M7" s="85"/>
      <c r="N7" s="85"/>
    </row>
    <row r="8" spans="1:14" ht="15" x14ac:dyDescent="0.2">
      <c r="A8" s="1"/>
      <c r="D8" s="85"/>
      <c r="E8" s="85"/>
      <c r="F8" s="85"/>
      <c r="H8" s="85"/>
      <c r="I8" s="85"/>
      <c r="K8" s="85"/>
      <c r="L8" s="85"/>
      <c r="M8" s="85"/>
      <c r="N8" s="85"/>
    </row>
    <row r="9" spans="1:14" ht="15" x14ac:dyDescent="0.2">
      <c r="A9" s="1"/>
      <c r="B9" s="85" t="s">
        <v>1135</v>
      </c>
      <c r="F9" s="85"/>
      <c r="H9" s="85"/>
      <c r="K9" s="85"/>
      <c r="L9" s="85"/>
      <c r="M9" s="85"/>
      <c r="N9" s="85"/>
    </row>
    <row r="10" spans="1:14" ht="15" x14ac:dyDescent="0.2">
      <c r="A10" s="1"/>
      <c r="B10" s="85" t="s">
        <v>1136</v>
      </c>
      <c r="F10" s="85"/>
      <c r="G10" s="85"/>
      <c r="H10" s="85"/>
      <c r="I10" s="85"/>
      <c r="J10" s="85"/>
      <c r="K10" s="85"/>
      <c r="L10" s="85"/>
      <c r="M10" s="85"/>
      <c r="N10" s="85"/>
    </row>
    <row r="11" spans="1:14" ht="15" x14ac:dyDescent="0.2">
      <c r="A11" s="1"/>
      <c r="C11" s="85"/>
      <c r="D11" s="85"/>
      <c r="E11" s="85"/>
      <c r="F11" s="85"/>
      <c r="G11" s="85"/>
      <c r="H11" s="85"/>
      <c r="I11" s="85"/>
      <c r="J11" s="85"/>
      <c r="K11" s="85"/>
      <c r="L11" s="85"/>
      <c r="M11" s="85"/>
      <c r="N11" s="85"/>
    </row>
    <row r="12" spans="1:14" ht="15.75" x14ac:dyDescent="0.25">
      <c r="A12" s="1"/>
      <c r="B12" s="87" t="s">
        <v>1077</v>
      </c>
      <c r="D12" s="85"/>
      <c r="E12" s="85"/>
      <c r="F12" s="85"/>
      <c r="G12" s="85"/>
      <c r="H12" s="85"/>
      <c r="I12" s="85"/>
      <c r="J12" s="85"/>
      <c r="K12" s="85"/>
      <c r="L12" s="85"/>
      <c r="M12" s="85"/>
      <c r="N12" s="85"/>
    </row>
    <row r="13" spans="1:14" ht="15" x14ac:dyDescent="0.2">
      <c r="B13" s="85" t="s">
        <v>1064</v>
      </c>
      <c r="D13" s="85"/>
      <c r="E13" s="85"/>
      <c r="F13" s="85"/>
      <c r="G13" s="85"/>
      <c r="H13" s="85"/>
      <c r="I13" s="85"/>
      <c r="J13" s="85"/>
      <c r="K13" s="85"/>
      <c r="L13" s="85"/>
      <c r="M13" s="85"/>
      <c r="N13" s="85"/>
    </row>
    <row r="14" spans="1:14" ht="15" x14ac:dyDescent="0.2">
      <c r="B14" s="85" t="s">
        <v>868</v>
      </c>
      <c r="D14" s="85"/>
      <c r="E14" s="85"/>
      <c r="F14" s="85"/>
      <c r="G14" s="85"/>
      <c r="H14" s="85"/>
      <c r="I14" s="85"/>
      <c r="J14" s="85"/>
      <c r="K14" s="85"/>
      <c r="L14" s="85"/>
      <c r="M14" s="85"/>
      <c r="N14" s="85"/>
    </row>
    <row r="15" spans="1:14" ht="15" x14ac:dyDescent="0.2">
      <c r="D15" s="85"/>
      <c r="E15" s="85"/>
      <c r="F15" s="85"/>
      <c r="G15" s="85"/>
      <c r="H15" s="85"/>
      <c r="I15" s="85"/>
      <c r="J15" s="85"/>
      <c r="K15" s="85"/>
      <c r="L15" s="85"/>
      <c r="M15" s="85"/>
      <c r="N15" s="85"/>
    </row>
    <row r="16" spans="1:14" ht="15" x14ac:dyDescent="0.2">
      <c r="A16" s="1"/>
      <c r="B16" s="85" t="s">
        <v>1068</v>
      </c>
      <c r="D16" s="85"/>
      <c r="E16" s="85"/>
      <c r="F16" s="85"/>
      <c r="G16" s="85"/>
      <c r="H16" s="85"/>
      <c r="I16" s="85"/>
      <c r="J16" s="85"/>
      <c r="K16" s="85"/>
      <c r="L16" s="85"/>
      <c r="M16" s="85"/>
      <c r="N16" s="85"/>
    </row>
    <row r="17" spans="1:14" ht="15" x14ac:dyDescent="0.2">
      <c r="A17" s="1"/>
      <c r="C17" s="85" t="s">
        <v>1076</v>
      </c>
      <c r="E17" s="85"/>
      <c r="F17" s="85"/>
      <c r="G17" s="85"/>
      <c r="H17" s="85"/>
      <c r="I17" s="85"/>
      <c r="J17" s="85"/>
      <c r="K17" s="85"/>
      <c r="L17" s="85"/>
      <c r="M17" s="85"/>
      <c r="N17" s="85"/>
    </row>
    <row r="18" spans="1:14" ht="15" x14ac:dyDescent="0.2">
      <c r="C18" s="85" t="s">
        <v>1065</v>
      </c>
      <c r="E18" s="85"/>
      <c r="F18" s="85"/>
      <c r="G18" s="85"/>
      <c r="H18" s="85"/>
      <c r="I18" s="85"/>
      <c r="J18" s="85"/>
      <c r="K18" s="85"/>
      <c r="L18" s="85"/>
      <c r="M18" s="85"/>
      <c r="N18" s="85"/>
    </row>
    <row r="19" spans="1:14" ht="15" x14ac:dyDescent="0.2">
      <c r="C19" s="85" t="s">
        <v>1066</v>
      </c>
      <c r="D19" s="85">
        <v>100</v>
      </c>
      <c r="E19" s="85"/>
      <c r="F19" s="85"/>
      <c r="G19" s="85"/>
      <c r="H19" s="85"/>
      <c r="I19" s="85"/>
      <c r="J19" s="85"/>
      <c r="K19" s="85"/>
      <c r="L19" s="85"/>
      <c r="M19" s="85"/>
      <c r="N19" s="85"/>
    </row>
    <row r="20" spans="1:14" ht="15" x14ac:dyDescent="0.2">
      <c r="C20" s="85" t="s">
        <v>1067</v>
      </c>
      <c r="D20" s="85">
        <v>1E-3</v>
      </c>
      <c r="E20" s="85"/>
      <c r="F20" s="85"/>
      <c r="G20" s="85"/>
      <c r="H20" s="85"/>
      <c r="I20" s="85"/>
      <c r="J20" s="85"/>
      <c r="K20" s="85"/>
      <c r="L20" s="85"/>
      <c r="M20" s="85"/>
      <c r="N20" s="85"/>
    </row>
    <row r="21" spans="1:14" ht="15" x14ac:dyDescent="0.2">
      <c r="C21" s="85"/>
      <c r="D21" s="85"/>
      <c r="E21" s="85"/>
      <c r="F21" s="85"/>
      <c r="G21" s="85"/>
      <c r="H21" s="85"/>
      <c r="I21" s="85"/>
      <c r="J21" s="85"/>
      <c r="K21" s="85"/>
      <c r="L21" s="85"/>
      <c r="M21" s="85"/>
      <c r="N21" s="85"/>
    </row>
    <row r="22" spans="1:14" ht="15" x14ac:dyDescent="0.2">
      <c r="B22" s="85" t="s">
        <v>1069</v>
      </c>
      <c r="C22" s="85"/>
      <c r="D22" s="85"/>
      <c r="E22" s="85"/>
      <c r="F22" s="85"/>
      <c r="G22" s="85"/>
      <c r="H22" s="85"/>
      <c r="I22" s="85"/>
      <c r="J22" s="85"/>
      <c r="K22" s="85"/>
      <c r="L22" s="85"/>
      <c r="M22" s="85"/>
      <c r="N22" s="85"/>
    </row>
    <row r="23" spans="1:14" ht="15" x14ac:dyDescent="0.2">
      <c r="B23" s="85"/>
      <c r="C23" s="85"/>
      <c r="D23" s="85"/>
      <c r="E23" s="85"/>
      <c r="F23" s="85"/>
      <c r="G23" s="85"/>
      <c r="H23" s="85"/>
      <c r="I23" s="85"/>
      <c r="J23" s="85"/>
      <c r="K23" s="85"/>
      <c r="L23" s="85"/>
      <c r="M23" s="85"/>
      <c r="N23" s="85"/>
    </row>
    <row r="24" spans="1:14" ht="15" x14ac:dyDescent="0.2">
      <c r="B24" s="85" t="s">
        <v>1072</v>
      </c>
      <c r="C24" s="85"/>
      <c r="D24" s="85"/>
      <c r="E24" s="85"/>
      <c r="F24" s="85"/>
      <c r="G24" s="85"/>
      <c r="H24" s="85"/>
      <c r="I24" s="85"/>
      <c r="J24" s="85"/>
      <c r="K24" s="85"/>
      <c r="L24" s="85"/>
      <c r="M24" s="85"/>
      <c r="N24" s="85"/>
    </row>
    <row r="25" spans="1:14" ht="15" x14ac:dyDescent="0.2">
      <c r="A25" s="1"/>
      <c r="C25" s="85"/>
      <c r="D25" s="85"/>
      <c r="E25" s="85"/>
      <c r="F25" s="85"/>
      <c r="G25" s="85"/>
      <c r="H25" s="85"/>
      <c r="I25" s="85"/>
      <c r="J25" s="85"/>
      <c r="K25" s="85"/>
      <c r="L25" s="85"/>
      <c r="M25" s="85"/>
      <c r="N25" s="85"/>
    </row>
    <row r="26" spans="1:14" ht="30" customHeight="1" x14ac:dyDescent="0.2">
      <c r="B26" s="85" t="s">
        <v>1073</v>
      </c>
      <c r="C26" s="85"/>
      <c r="D26" s="85"/>
      <c r="E26" s="85"/>
      <c r="F26" s="85"/>
      <c r="G26" s="85"/>
      <c r="H26" s="85"/>
      <c r="I26" s="85"/>
      <c r="J26" s="85"/>
      <c r="K26" s="85"/>
      <c r="L26" s="85"/>
      <c r="M26" s="85"/>
      <c r="N26" s="85"/>
    </row>
    <row r="27" spans="1:14" ht="15" x14ac:dyDescent="0.2">
      <c r="C27" s="85"/>
      <c r="D27" s="85"/>
      <c r="E27" s="85"/>
      <c r="F27" s="85"/>
      <c r="G27" s="85"/>
      <c r="H27" s="85"/>
      <c r="I27" s="85"/>
      <c r="J27" s="85"/>
      <c r="K27" s="85"/>
      <c r="L27" s="85"/>
      <c r="M27" s="85"/>
      <c r="N27" s="85"/>
    </row>
    <row r="28" spans="1:14" ht="30" x14ac:dyDescent="0.4">
      <c r="B28" s="88" t="s">
        <v>1258</v>
      </c>
      <c r="C28" s="85"/>
      <c r="D28" s="85"/>
      <c r="E28" s="85"/>
      <c r="F28" s="85"/>
      <c r="G28" s="85"/>
      <c r="H28" s="85"/>
      <c r="I28" s="85"/>
      <c r="J28" s="85"/>
      <c r="K28" s="85"/>
      <c r="L28" s="85"/>
      <c r="M28" s="85"/>
      <c r="N28" s="85"/>
    </row>
    <row r="29" spans="1:14" ht="15" x14ac:dyDescent="0.2">
      <c r="B29" s="85"/>
      <c r="C29" s="85"/>
      <c r="D29" s="85"/>
      <c r="E29" s="85"/>
      <c r="F29" s="85"/>
      <c r="G29" s="85"/>
      <c r="H29" s="85"/>
      <c r="I29" s="85"/>
      <c r="J29" s="85"/>
      <c r="K29" s="85"/>
      <c r="L29" s="85"/>
      <c r="M29" s="85"/>
      <c r="N29" s="85"/>
    </row>
    <row r="30" spans="1:14" ht="30" x14ac:dyDescent="0.4">
      <c r="B30" s="88" t="s">
        <v>1070</v>
      </c>
      <c r="C30" s="85"/>
      <c r="D30" s="85"/>
      <c r="E30" s="85"/>
      <c r="F30" s="85"/>
      <c r="G30" s="85"/>
      <c r="H30" s="85"/>
      <c r="I30" s="85"/>
      <c r="J30" s="85"/>
      <c r="K30" s="85"/>
      <c r="L30" s="85"/>
      <c r="M30" s="85"/>
      <c r="N30" s="85"/>
    </row>
    <row r="31" spans="1:14" ht="15" x14ac:dyDescent="0.2">
      <c r="C31" s="85"/>
      <c r="D31" s="85"/>
      <c r="E31" s="85"/>
      <c r="F31" s="85"/>
      <c r="G31" s="85"/>
      <c r="H31" s="85"/>
      <c r="I31" s="85"/>
      <c r="J31" s="85"/>
      <c r="K31" s="85"/>
      <c r="L31" s="85"/>
      <c r="M31" s="85"/>
      <c r="N31" s="85"/>
    </row>
    <row r="32" spans="1:14" ht="30" x14ac:dyDescent="0.4">
      <c r="B32" s="88" t="s">
        <v>1071</v>
      </c>
      <c r="C32" s="85"/>
      <c r="D32" s="85"/>
      <c r="E32" s="85"/>
      <c r="F32" s="85"/>
      <c r="G32" s="85"/>
      <c r="H32" s="85"/>
      <c r="I32" s="85"/>
      <c r="J32" s="85"/>
      <c r="K32" s="85"/>
      <c r="L32" s="85"/>
      <c r="M32" s="85"/>
      <c r="N32" s="85"/>
    </row>
    <row r="33" spans="2:14" ht="15" x14ac:dyDescent="0.2">
      <c r="C33" s="85"/>
      <c r="D33" s="85"/>
      <c r="E33" s="85"/>
      <c r="F33" s="85"/>
      <c r="G33" s="85"/>
      <c r="H33" s="85"/>
      <c r="I33" s="85"/>
      <c r="J33" s="85"/>
      <c r="K33" s="85"/>
      <c r="L33" s="85"/>
      <c r="M33" s="85"/>
      <c r="N33" s="85"/>
    </row>
    <row r="34" spans="2:14" ht="15" x14ac:dyDescent="0.2">
      <c r="C34" s="85"/>
      <c r="D34" s="85"/>
      <c r="E34" s="85"/>
      <c r="F34" s="85"/>
      <c r="G34" s="85"/>
      <c r="H34" s="85"/>
      <c r="I34" s="85"/>
      <c r="J34" s="85"/>
      <c r="K34" s="85"/>
      <c r="L34" s="85"/>
      <c r="M34" s="85"/>
      <c r="N34" s="85"/>
    </row>
    <row r="35" spans="2:14" ht="15" x14ac:dyDescent="0.2">
      <c r="B35" s="85"/>
      <c r="C35" s="85"/>
      <c r="D35" s="85"/>
      <c r="E35" s="85"/>
      <c r="F35" s="85"/>
      <c r="G35" s="85"/>
      <c r="H35" s="85"/>
      <c r="I35" s="85"/>
      <c r="J35" s="85"/>
      <c r="K35" s="85"/>
      <c r="L35" s="85"/>
      <c r="M35" s="85"/>
      <c r="N35" s="85"/>
    </row>
    <row r="36" spans="2:14" ht="15" x14ac:dyDescent="0.2">
      <c r="B36" s="85"/>
      <c r="C36" s="85"/>
      <c r="D36" s="85"/>
      <c r="E36" s="85"/>
      <c r="F36" s="85"/>
      <c r="G36" s="85"/>
      <c r="H36" s="85"/>
      <c r="I36" s="85"/>
      <c r="J36" s="85"/>
      <c r="K36" s="85"/>
      <c r="L36" s="85"/>
      <c r="M36" s="85"/>
      <c r="N36" s="85"/>
    </row>
    <row r="37" spans="2:14" ht="15" x14ac:dyDescent="0.2">
      <c r="B37" s="85"/>
      <c r="C37" s="85"/>
      <c r="D37" s="85"/>
      <c r="E37" s="85"/>
      <c r="F37" s="85"/>
      <c r="G37" s="85"/>
      <c r="H37" s="85"/>
      <c r="I37" s="85"/>
      <c r="J37" s="85"/>
      <c r="K37" s="85"/>
      <c r="L37" s="85"/>
      <c r="M37" s="85"/>
      <c r="N37" s="85"/>
    </row>
    <row r="38" spans="2:14" ht="15" x14ac:dyDescent="0.2">
      <c r="B38" s="85"/>
      <c r="C38" s="85"/>
      <c r="D38" s="85"/>
      <c r="E38" s="85"/>
      <c r="F38" s="85"/>
      <c r="G38" s="85"/>
      <c r="H38" s="85"/>
      <c r="I38" s="85"/>
      <c r="J38" s="85"/>
      <c r="K38" s="85"/>
      <c r="L38" s="85"/>
      <c r="M38" s="85"/>
      <c r="N38" s="85"/>
    </row>
  </sheetData>
  <phoneticPr fontId="3" type="noConversion"/>
  <hyperlinks>
    <hyperlink ref="B28" r:id="rId1" display="Lightbringer Warrior Discord" xr:uid="{00000000-0004-0000-0000-000000000000}"/>
    <hyperlink ref="B30" r:id="rId2" display="Lightbringer Forum Post" xr:uid="{00000000-0004-0000-0000-000001000000}"/>
    <hyperlink ref="B32" r:id="rId3" xr:uid="{00000000-0004-0000-0000-000002000000}"/>
  </hyperlinks>
  <pageMargins left="0.75" right="0.75" top="1" bottom="1" header="0.5" footer="0.5"/>
  <pageSetup orientation="portrait" horizontalDpi="300" verticalDpi="300" r:id="rId4"/>
  <headerFooter alignWithMargins="0"/>
  <drawing r:id="rId5"/>
  <legacyDrawing r:id="rId6"/>
  <mc:AlternateContent xmlns:mc="http://schemas.openxmlformats.org/markup-compatibility/2006">
    <mc:Choice Requires="x14">
      <controls>
        <mc:AlternateContent xmlns:mc="http://schemas.openxmlformats.org/markup-compatibility/2006">
          <mc:Choice Requires="x14">
            <control shapeId="3073" r:id="rId7" name="Check Box 1">
              <controlPr defaultSize="0" autoFill="0" autoLine="0" autoPict="0">
                <anchor moveWithCells="1">
                  <from>
                    <xdr:col>3</xdr:col>
                    <xdr:colOff>457200</xdr:colOff>
                    <xdr:row>11</xdr:row>
                    <xdr:rowOff>104775</xdr:rowOff>
                  </from>
                  <to>
                    <xdr:col>4</xdr:col>
                    <xdr:colOff>257175</xdr:colOff>
                    <xdr:row>13</xdr:row>
                    <xdr:rowOff>95250</xdr:rowOff>
                  </to>
                </anchor>
              </controlPr>
            </control>
          </mc:Choice>
        </mc:AlternateContent>
        <mc:AlternateContent xmlns:mc="http://schemas.openxmlformats.org/markup-compatibility/2006">
          <mc:Choice Requires="x14">
            <control shapeId="3074" r:id="rId8" name="Check Box 2">
              <controlPr defaultSize="0" autoFill="0" autoLine="0" autoPict="0">
                <anchor moveWithCells="1">
                  <from>
                    <xdr:col>1</xdr:col>
                    <xdr:colOff>1733550</xdr:colOff>
                    <xdr:row>16</xdr:row>
                    <xdr:rowOff>104775</xdr:rowOff>
                  </from>
                  <to>
                    <xdr:col>2</xdr:col>
                    <xdr:colOff>219075</xdr:colOff>
                    <xdr:row>18</xdr:row>
                    <xdr:rowOff>104775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6"/>
  <dimension ref="B2:L46"/>
  <sheetViews>
    <sheetView workbookViewId="0">
      <selection activeCell="D11" sqref="D11"/>
    </sheetView>
  </sheetViews>
  <sheetFormatPr defaultRowHeight="12.75" x14ac:dyDescent="0.2"/>
  <cols>
    <col min="1" max="1" width="4.42578125" customWidth="1"/>
    <col min="2" max="2" width="23" customWidth="1"/>
    <col min="3" max="3" width="10.7109375" customWidth="1"/>
    <col min="5" max="5" width="24" customWidth="1"/>
    <col min="6" max="6" width="11.140625" customWidth="1"/>
    <col min="8" max="8" width="11.5703125" customWidth="1"/>
  </cols>
  <sheetData>
    <row r="2" spans="2:12" x14ac:dyDescent="0.2">
      <c r="B2" t="s">
        <v>1151</v>
      </c>
      <c r="C2" s="142" t="s">
        <v>1150</v>
      </c>
      <c r="E2" s="11" t="s">
        <v>1229</v>
      </c>
    </row>
    <row r="3" spans="2:12" x14ac:dyDescent="0.2">
      <c r="B3" s="11" t="s">
        <v>1147</v>
      </c>
      <c r="C3">
        <v>12</v>
      </c>
      <c r="F3" s="11" t="s">
        <v>1191</v>
      </c>
      <c r="G3" s="11" t="s">
        <v>1147</v>
      </c>
      <c r="H3" s="11" t="s">
        <v>1190</v>
      </c>
    </row>
    <row r="4" spans="2:12" x14ac:dyDescent="0.2">
      <c r="B4" t="s">
        <v>1148</v>
      </c>
      <c r="C4">
        <v>12</v>
      </c>
      <c r="E4" t="s">
        <v>314</v>
      </c>
      <c r="F4">
        <f>1.3*1.3/60</f>
        <v>2.816666666666667E-2</v>
      </c>
      <c r="G4">
        <f>1.3/60</f>
        <v>2.1666666666666667E-2</v>
      </c>
      <c r="H4">
        <f t="shared" ref="H4:H45" si="0">IF(Realm="Kronos",G4,F4)</f>
        <v>2.1666666666666667E-2</v>
      </c>
    </row>
    <row r="5" spans="2:12" x14ac:dyDescent="0.2">
      <c r="B5" t="s">
        <v>1249</v>
      </c>
      <c r="C5">
        <v>8</v>
      </c>
      <c r="E5" t="s">
        <v>289</v>
      </c>
      <c r="F5">
        <f>2/60</f>
        <v>3.3333333333333333E-2</v>
      </c>
      <c r="G5">
        <f>1.8*2/60</f>
        <v>6.0000000000000005E-2</v>
      </c>
      <c r="H5">
        <f t="shared" si="0"/>
        <v>6.0000000000000005E-2</v>
      </c>
    </row>
    <row r="6" spans="2:12" x14ac:dyDescent="0.2">
      <c r="E6" t="s">
        <v>337</v>
      </c>
      <c r="F6">
        <f>1.5/60</f>
        <v>2.5000000000000001E-2</v>
      </c>
      <c r="G6">
        <f>1.8*1.5/60</f>
        <v>4.5000000000000005E-2</v>
      </c>
      <c r="H6">
        <f t="shared" si="0"/>
        <v>4.5000000000000005E-2</v>
      </c>
    </row>
    <row r="7" spans="2:12" x14ac:dyDescent="0.2">
      <c r="B7" t="s">
        <v>1152</v>
      </c>
      <c r="C7">
        <f>VLOOKUP(Realm,B3:C5,2,FALSE)</f>
        <v>12</v>
      </c>
      <c r="E7" t="s">
        <v>297</v>
      </c>
      <c r="F7">
        <f>2.7/60</f>
        <v>4.5000000000000005E-2</v>
      </c>
      <c r="G7">
        <f>1.2*2.7/60</f>
        <v>5.4000000000000006E-2</v>
      </c>
      <c r="H7">
        <f t="shared" si="0"/>
        <v>5.4000000000000006E-2</v>
      </c>
    </row>
    <row r="8" spans="2:12" x14ac:dyDescent="0.2">
      <c r="E8" t="s">
        <v>694</v>
      </c>
      <c r="F8">
        <f>15*BaseSpeed/60</f>
        <v>0.47499999999999998</v>
      </c>
      <c r="G8">
        <f>15*BaseSpeed/60</f>
        <v>0.47499999999999998</v>
      </c>
      <c r="H8">
        <f t="shared" si="0"/>
        <v>0.47499999999999998</v>
      </c>
    </row>
    <row r="9" spans="2:12" x14ac:dyDescent="0.2">
      <c r="E9" t="s">
        <v>445</v>
      </c>
      <c r="F9">
        <f>3.5/60</f>
        <v>5.8333333333333334E-2</v>
      </c>
      <c r="G9">
        <f>3.5/60</f>
        <v>5.8333333333333334E-2</v>
      </c>
      <c r="H9">
        <f t="shared" si="0"/>
        <v>5.8333333333333334E-2</v>
      </c>
    </row>
    <row r="10" spans="2:12" x14ac:dyDescent="0.2">
      <c r="E10" s="11" t="s">
        <v>454</v>
      </c>
      <c r="F10">
        <f>IF(Patch&lt;10,3,2.6)*3.4/60</f>
        <v>0.14733333333333334</v>
      </c>
      <c r="G10">
        <v>0.15</v>
      </c>
      <c r="H10">
        <f t="shared" si="0"/>
        <v>0.15</v>
      </c>
      <c r="L10" s="141"/>
    </row>
    <row r="11" spans="2:12" x14ac:dyDescent="0.2">
      <c r="E11" t="s">
        <v>424</v>
      </c>
      <c r="F11">
        <f>2.1/60</f>
        <v>3.5000000000000003E-2</v>
      </c>
      <c r="G11">
        <f>1.1*2.1/60</f>
        <v>3.8500000000000006E-2</v>
      </c>
      <c r="H11">
        <f t="shared" si="0"/>
        <v>3.8500000000000006E-2</v>
      </c>
      <c r="L11" s="141"/>
    </row>
    <row r="12" spans="2:12" x14ac:dyDescent="0.2">
      <c r="E12" t="s">
        <v>1178</v>
      </c>
      <c r="F12">
        <f>3.6/60</f>
        <v>6.0000000000000005E-2</v>
      </c>
      <c r="G12">
        <f>1.5*3.6/60</f>
        <v>9.0000000000000011E-2</v>
      </c>
      <c r="H12">
        <f t="shared" si="0"/>
        <v>9.0000000000000011E-2</v>
      </c>
    </row>
    <row r="13" spans="2:12" x14ac:dyDescent="0.2">
      <c r="E13" t="s">
        <v>278</v>
      </c>
      <c r="F13">
        <f>BaseSpeed/60</f>
        <v>3.1666666666666662E-2</v>
      </c>
      <c r="G13">
        <f>1.8*BaseSpeed/60</f>
        <v>5.7000000000000002E-2</v>
      </c>
      <c r="H13">
        <f t="shared" si="0"/>
        <v>5.7000000000000002E-2</v>
      </c>
    </row>
    <row r="14" spans="2:12" x14ac:dyDescent="0.2">
      <c r="E14" t="s">
        <v>312</v>
      </c>
      <c r="F14">
        <f>1.5/60</f>
        <v>2.5000000000000001E-2</v>
      </c>
      <c r="G14">
        <f>2*1.5/60</f>
        <v>0.05</v>
      </c>
      <c r="H14">
        <f t="shared" si="0"/>
        <v>0.05</v>
      </c>
    </row>
    <row r="15" spans="2:12" x14ac:dyDescent="0.2">
      <c r="E15" t="s">
        <v>286</v>
      </c>
      <c r="F15">
        <f>2.9/60</f>
        <v>4.8333333333333332E-2</v>
      </c>
      <c r="G15">
        <f>1.5*2.9/60</f>
        <v>7.2499999999999995E-2</v>
      </c>
      <c r="H15">
        <f t="shared" si="0"/>
        <v>7.2499999999999995E-2</v>
      </c>
    </row>
    <row r="16" spans="2:12" x14ac:dyDescent="0.2">
      <c r="E16" s="11" t="s">
        <v>467</v>
      </c>
      <c r="F16">
        <f>2.6/60</f>
        <v>4.3333333333333335E-2</v>
      </c>
      <c r="G16">
        <v>0.06</v>
      </c>
      <c r="H16">
        <f t="shared" si="0"/>
        <v>0.06</v>
      </c>
    </row>
    <row r="17" spans="5:8" x14ac:dyDescent="0.2">
      <c r="E17" t="s">
        <v>414</v>
      </c>
      <c r="F17">
        <f>3.4/60</f>
        <v>5.6666666666666664E-2</v>
      </c>
      <c r="G17">
        <f>1.5*3.4/60</f>
        <v>8.4999999999999992E-2</v>
      </c>
      <c r="H17">
        <f t="shared" si="0"/>
        <v>8.4999999999999992E-2</v>
      </c>
    </row>
    <row r="18" spans="5:8" x14ac:dyDescent="0.2">
      <c r="E18" t="s">
        <v>325</v>
      </c>
      <c r="F18">
        <f>2.3/60</f>
        <v>3.833333333333333E-2</v>
      </c>
      <c r="G18">
        <f>1.8*2.3/60</f>
        <v>6.8999999999999992E-2</v>
      </c>
      <c r="H18">
        <f t="shared" si="0"/>
        <v>6.8999999999999992E-2</v>
      </c>
    </row>
    <row r="19" spans="5:8" x14ac:dyDescent="0.2">
      <c r="E19" t="s">
        <v>976</v>
      </c>
      <c r="F19">
        <f>1.8/60</f>
        <v>3.0000000000000002E-2</v>
      </c>
      <c r="G19">
        <f>1.8/60</f>
        <v>3.0000000000000002E-2</v>
      </c>
      <c r="H19">
        <f t="shared" si="0"/>
        <v>3.0000000000000002E-2</v>
      </c>
    </row>
    <row r="20" spans="5:8" x14ac:dyDescent="0.2">
      <c r="E20" s="11" t="s">
        <v>326</v>
      </c>
      <c r="F20">
        <f>2.8/60</f>
        <v>4.6666666666666662E-2</v>
      </c>
      <c r="G20">
        <f>2*2.8/60</f>
        <v>9.3333333333333324E-2</v>
      </c>
      <c r="H20">
        <f t="shared" si="0"/>
        <v>9.3333333333333324E-2</v>
      </c>
    </row>
    <row r="21" spans="5:8" x14ac:dyDescent="0.2">
      <c r="E21" t="s">
        <v>335</v>
      </c>
      <c r="F21">
        <f>1.5/60</f>
        <v>2.5000000000000001E-2</v>
      </c>
      <c r="G21">
        <f>2.8*1.5/60</f>
        <v>6.9999999999999993E-2</v>
      </c>
      <c r="H21">
        <f t="shared" si="0"/>
        <v>6.9999999999999993E-2</v>
      </c>
    </row>
    <row r="22" spans="5:8" x14ac:dyDescent="0.2">
      <c r="E22" s="11" t="s">
        <v>311</v>
      </c>
      <c r="F22">
        <f>1.4*1.7/60</f>
        <v>3.9666666666666663E-2</v>
      </c>
      <c r="G22">
        <f>1.3*1.7/60</f>
        <v>3.6833333333333336E-2</v>
      </c>
      <c r="H22">
        <f t="shared" si="0"/>
        <v>3.6833333333333336E-2</v>
      </c>
    </row>
    <row r="23" spans="5:8" x14ac:dyDescent="0.2">
      <c r="E23" t="s">
        <v>914</v>
      </c>
      <c r="F23">
        <f>1.5/60</f>
        <v>2.5000000000000001E-2</v>
      </c>
      <c r="G23">
        <f>1.5/60</f>
        <v>2.5000000000000001E-2</v>
      </c>
      <c r="H23">
        <f t="shared" si="0"/>
        <v>2.5000000000000001E-2</v>
      </c>
    </row>
    <row r="24" spans="5:8" x14ac:dyDescent="0.2">
      <c r="E24" t="s">
        <v>307</v>
      </c>
      <c r="F24">
        <f>1.8/60</f>
        <v>3.0000000000000002E-2</v>
      </c>
      <c r="G24">
        <f>1.1*1.8/60</f>
        <v>3.3000000000000002E-2</v>
      </c>
      <c r="H24">
        <f t="shared" si="0"/>
        <v>3.3000000000000002E-2</v>
      </c>
    </row>
    <row r="25" spans="5:8" x14ac:dyDescent="0.2">
      <c r="E25" t="s">
        <v>304</v>
      </c>
      <c r="F25">
        <f>1.8/60</f>
        <v>3.0000000000000002E-2</v>
      </c>
      <c r="G25">
        <f>1.5*1.8/60</f>
        <v>4.5000000000000005E-2</v>
      </c>
      <c r="H25">
        <f t="shared" si="0"/>
        <v>4.5000000000000005E-2</v>
      </c>
    </row>
    <row r="26" spans="5:8" x14ac:dyDescent="0.2">
      <c r="E26" t="s">
        <v>444</v>
      </c>
      <c r="F26">
        <f>3.5/60</f>
        <v>5.8333333333333334E-2</v>
      </c>
      <c r="G26">
        <v>0.06</v>
      </c>
      <c r="H26">
        <f t="shared" si="0"/>
        <v>0.06</v>
      </c>
    </row>
    <row r="27" spans="5:8" x14ac:dyDescent="0.2">
      <c r="E27" s="11" t="s">
        <v>748</v>
      </c>
      <c r="F27">
        <f>BaseSpeed/60</f>
        <v>3.1666666666666662E-2</v>
      </c>
      <c r="G27">
        <f>3*BaseSpeed/60</f>
        <v>9.4999999999999987E-2</v>
      </c>
      <c r="H27">
        <f t="shared" si="0"/>
        <v>9.4999999999999987E-2</v>
      </c>
    </row>
    <row r="28" spans="5:8" x14ac:dyDescent="0.2">
      <c r="E28" s="11" t="s">
        <v>645</v>
      </c>
      <c r="F28">
        <f>2.4/60</f>
        <v>0.04</v>
      </c>
      <c r="G28">
        <v>0.04</v>
      </c>
      <c r="H28">
        <f t="shared" si="0"/>
        <v>0.04</v>
      </c>
    </row>
    <row r="29" spans="5:8" x14ac:dyDescent="0.2">
      <c r="E29" t="s">
        <v>434</v>
      </c>
      <c r="F29">
        <f>3.6/60</f>
        <v>6.0000000000000005E-2</v>
      </c>
      <c r="G29">
        <f>3.6/60</f>
        <v>6.0000000000000005E-2</v>
      </c>
      <c r="H29">
        <f t="shared" si="0"/>
        <v>6.0000000000000005E-2</v>
      </c>
    </row>
    <row r="30" spans="5:8" x14ac:dyDescent="0.2">
      <c r="E30" t="s">
        <v>453</v>
      </c>
      <c r="F30">
        <f>3.2/60</f>
        <v>5.3333333333333337E-2</v>
      </c>
      <c r="G30">
        <f>1.6*3.2/60</f>
        <v>8.5333333333333344E-2</v>
      </c>
      <c r="H30">
        <f t="shared" si="0"/>
        <v>8.5333333333333344E-2</v>
      </c>
    </row>
    <row r="31" spans="5:8" x14ac:dyDescent="0.2">
      <c r="E31" t="s">
        <v>1170</v>
      </c>
      <c r="F31">
        <f>3*2.8/60</f>
        <v>0.13999999999999999</v>
      </c>
      <c r="G31">
        <v>0.14000000000000001</v>
      </c>
      <c r="H31">
        <f t="shared" si="0"/>
        <v>0.14000000000000001</v>
      </c>
    </row>
    <row r="32" spans="5:8" x14ac:dyDescent="0.2">
      <c r="E32" t="s">
        <v>416</v>
      </c>
      <c r="F32">
        <f>3.7/60</f>
        <v>6.1666666666666668E-2</v>
      </c>
      <c r="G32">
        <f>1.1*3.7/60</f>
        <v>6.7833333333333343E-2</v>
      </c>
      <c r="H32">
        <f t="shared" si="0"/>
        <v>6.7833333333333343E-2</v>
      </c>
    </row>
    <row r="33" spans="5:8" x14ac:dyDescent="0.2">
      <c r="E33" t="s">
        <v>299</v>
      </c>
      <c r="F33">
        <f>1.3*1.8/60</f>
        <v>3.9000000000000007E-2</v>
      </c>
      <c r="G33">
        <f>1.4*1.8/60</f>
        <v>4.2000000000000003E-2</v>
      </c>
      <c r="H33">
        <f t="shared" si="0"/>
        <v>4.2000000000000003E-2</v>
      </c>
    </row>
    <row r="34" spans="5:8" x14ac:dyDescent="0.2">
      <c r="E34" t="s">
        <v>328</v>
      </c>
      <c r="F34">
        <f>2.6/60</f>
        <v>4.3333333333333335E-2</v>
      </c>
      <c r="G34">
        <f>1.3*2.6/60</f>
        <v>5.6333333333333339E-2</v>
      </c>
      <c r="H34">
        <f t="shared" si="0"/>
        <v>5.6333333333333339E-2</v>
      </c>
    </row>
    <row r="35" spans="5:8" x14ac:dyDescent="0.2">
      <c r="E35" t="s">
        <v>429</v>
      </c>
      <c r="F35">
        <f>3.7/60</f>
        <v>6.1666666666666668E-2</v>
      </c>
      <c r="G35">
        <f>1.5*3.7/60</f>
        <v>9.2500000000000013E-2</v>
      </c>
      <c r="H35">
        <f t="shared" si="0"/>
        <v>9.2500000000000013E-2</v>
      </c>
    </row>
    <row r="36" spans="5:8" x14ac:dyDescent="0.2">
      <c r="E36" t="s">
        <v>431</v>
      </c>
      <c r="F36">
        <f>3.7/60</f>
        <v>6.1666666666666668E-2</v>
      </c>
      <c r="G36">
        <f>3.7/60</f>
        <v>6.1666666666666668E-2</v>
      </c>
      <c r="H36">
        <f t="shared" si="0"/>
        <v>6.1666666666666668E-2</v>
      </c>
    </row>
    <row r="37" spans="5:8" x14ac:dyDescent="0.2">
      <c r="E37" t="s">
        <v>349</v>
      </c>
      <c r="F37">
        <f>2.5/60</f>
        <v>4.1666666666666664E-2</v>
      </c>
      <c r="G37">
        <f>2.5/60</f>
        <v>4.1666666666666664E-2</v>
      </c>
      <c r="H37">
        <f t="shared" si="0"/>
        <v>4.1666666666666664E-2</v>
      </c>
    </row>
    <row r="38" spans="5:8" x14ac:dyDescent="0.2">
      <c r="E38" t="s">
        <v>353</v>
      </c>
      <c r="F38">
        <f>2.9/60</f>
        <v>4.8333333333333332E-2</v>
      </c>
      <c r="G38">
        <f>1.5*2.9/60</f>
        <v>7.2499999999999995E-2</v>
      </c>
      <c r="H38">
        <f t="shared" si="0"/>
        <v>7.2499999999999995E-2</v>
      </c>
    </row>
    <row r="39" spans="5:8" x14ac:dyDescent="0.2">
      <c r="E39" t="s">
        <v>308</v>
      </c>
      <c r="F39">
        <f>1.8/60</f>
        <v>3.0000000000000002E-2</v>
      </c>
      <c r="G39">
        <f>1.1*1.8/60</f>
        <v>3.3000000000000002E-2</v>
      </c>
      <c r="H39">
        <f t="shared" si="0"/>
        <v>3.3000000000000002E-2</v>
      </c>
    </row>
    <row r="40" spans="5:8" x14ac:dyDescent="0.2">
      <c r="E40" t="s">
        <v>425</v>
      </c>
      <c r="F40">
        <f>4/60</f>
        <v>6.6666666666666666E-2</v>
      </c>
      <c r="G40">
        <f>4/60</f>
        <v>6.6666666666666666E-2</v>
      </c>
      <c r="H40">
        <f t="shared" si="0"/>
        <v>6.6666666666666666E-2</v>
      </c>
    </row>
    <row r="41" spans="5:8" x14ac:dyDescent="0.2">
      <c r="E41" s="11" t="s">
        <v>455</v>
      </c>
      <c r="F41">
        <f>2*3.4/60</f>
        <v>0.11333333333333333</v>
      </c>
      <c r="G41">
        <f>2*3.4/60</f>
        <v>0.11333333333333333</v>
      </c>
      <c r="H41">
        <f t="shared" si="0"/>
        <v>0.11333333333333333</v>
      </c>
    </row>
    <row r="42" spans="5:8" x14ac:dyDescent="0.2">
      <c r="E42" t="s">
        <v>651</v>
      </c>
      <c r="F42">
        <f>2.7/60</f>
        <v>4.5000000000000005E-2</v>
      </c>
      <c r="G42">
        <f>2.7/60</f>
        <v>4.5000000000000005E-2</v>
      </c>
      <c r="H42">
        <f t="shared" si="0"/>
        <v>4.5000000000000005E-2</v>
      </c>
    </row>
    <row r="43" spans="5:8" x14ac:dyDescent="0.2">
      <c r="E43" s="11" t="s">
        <v>340</v>
      </c>
      <c r="F43">
        <f>0.2</f>
        <v>0.2</v>
      </c>
      <c r="G43">
        <f>0.2</f>
        <v>0.2</v>
      </c>
      <c r="H43">
        <f t="shared" si="0"/>
        <v>0.2</v>
      </c>
    </row>
    <row r="44" spans="5:8" x14ac:dyDescent="0.2">
      <c r="E44" t="s">
        <v>969</v>
      </c>
      <c r="F44">
        <f>3.1/60</f>
        <v>5.1666666666666666E-2</v>
      </c>
      <c r="G44">
        <f>1.5*3.1/60</f>
        <v>7.7499999999999999E-2</v>
      </c>
      <c r="H44">
        <f t="shared" si="0"/>
        <v>7.7499999999999999E-2</v>
      </c>
    </row>
    <row r="45" spans="5:8" x14ac:dyDescent="0.2">
      <c r="E45" s="11" t="s">
        <v>345</v>
      </c>
      <c r="F45">
        <f>1.3*2.6/60</f>
        <v>5.6333333333333339E-2</v>
      </c>
      <c r="G45">
        <f>1.5*2.6/60</f>
        <v>6.5000000000000002E-2</v>
      </c>
      <c r="H45">
        <f t="shared" si="0"/>
        <v>6.5000000000000002E-2</v>
      </c>
    </row>
    <row r="46" spans="5:8" x14ac:dyDescent="0.2">
      <c r="E46" s="11"/>
    </row>
  </sheetData>
  <sortState xmlns:xlrd2="http://schemas.microsoft.com/office/spreadsheetml/2017/richdata2" ref="E4:H45">
    <sortCondition ref="E3"/>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61"/>
  <dimension ref="A1:I68"/>
  <sheetViews>
    <sheetView topLeftCell="A34" workbookViewId="0">
      <selection activeCell="F54" sqref="F54"/>
    </sheetView>
  </sheetViews>
  <sheetFormatPr defaultRowHeight="12.75" x14ac:dyDescent="0.2"/>
  <cols>
    <col min="1" max="1" width="23.28515625" customWidth="1"/>
  </cols>
  <sheetData>
    <row r="1" spans="1:9" s="3" customFormat="1" x14ac:dyDescent="0.2">
      <c r="A1" s="3" t="s">
        <v>10</v>
      </c>
      <c r="B1" s="3" t="s">
        <v>3</v>
      </c>
      <c r="C1" s="3" t="s">
        <v>4</v>
      </c>
      <c r="D1" s="3" t="s">
        <v>5</v>
      </c>
      <c r="E1" s="3" t="s">
        <v>1</v>
      </c>
      <c r="F1" s="3" t="s">
        <v>6</v>
      </c>
      <c r="G1" s="3" t="s">
        <v>140</v>
      </c>
      <c r="H1" s="3" t="s">
        <v>9</v>
      </c>
      <c r="I1" s="3" t="s">
        <v>736</v>
      </c>
    </row>
    <row r="2" spans="1:9" x14ac:dyDescent="0.2">
      <c r="A2" t="s">
        <v>393</v>
      </c>
    </row>
    <row r="3" spans="1:9" x14ac:dyDescent="0.2">
      <c r="A3" t="s">
        <v>125</v>
      </c>
    </row>
    <row r="4" spans="1:9" x14ac:dyDescent="0.2">
      <c r="A4" t="s">
        <v>129</v>
      </c>
    </row>
    <row r="5" spans="1:9" x14ac:dyDescent="0.2">
      <c r="A5" t="s">
        <v>127</v>
      </c>
      <c r="D5">
        <v>8</v>
      </c>
    </row>
    <row r="6" spans="1:9" x14ac:dyDescent="0.2">
      <c r="A6" t="s">
        <v>128</v>
      </c>
      <c r="C6">
        <v>8</v>
      </c>
    </row>
    <row r="7" spans="1:9" s="3" customFormat="1" x14ac:dyDescent="0.2">
      <c r="A7" t="s">
        <v>126</v>
      </c>
      <c r="B7">
        <v>8</v>
      </c>
      <c r="C7"/>
      <c r="D7"/>
      <c r="E7"/>
      <c r="F7"/>
      <c r="G7"/>
    </row>
    <row r="8" spans="1:9" x14ac:dyDescent="0.2">
      <c r="A8" s="3"/>
      <c r="B8" s="3"/>
      <c r="C8" s="3"/>
      <c r="D8" s="3"/>
      <c r="E8" s="3"/>
      <c r="F8" s="3"/>
      <c r="G8" s="3"/>
    </row>
    <row r="9" spans="1:9" x14ac:dyDescent="0.2">
      <c r="A9" s="3" t="s">
        <v>23</v>
      </c>
    </row>
    <row r="10" spans="1:9" x14ac:dyDescent="0.2">
      <c r="A10" t="s">
        <v>393</v>
      </c>
    </row>
    <row r="11" spans="1:9" x14ac:dyDescent="0.2">
      <c r="A11" t="s">
        <v>525</v>
      </c>
    </row>
    <row r="12" spans="1:9" x14ac:dyDescent="0.2">
      <c r="A12" t="s">
        <v>129</v>
      </c>
    </row>
    <row r="13" spans="1:9" x14ac:dyDescent="0.2">
      <c r="A13" t="s">
        <v>127</v>
      </c>
      <c r="D13">
        <v>8</v>
      </c>
    </row>
    <row r="14" spans="1:9" x14ac:dyDescent="0.2">
      <c r="A14" t="s">
        <v>128</v>
      </c>
      <c r="C14">
        <v>8</v>
      </c>
    </row>
    <row r="15" spans="1:9" x14ac:dyDescent="0.2">
      <c r="A15" t="s">
        <v>126</v>
      </c>
      <c r="B15">
        <v>8</v>
      </c>
    </row>
    <row r="17" spans="1:7" x14ac:dyDescent="0.2">
      <c r="A17" s="3" t="s">
        <v>20</v>
      </c>
      <c r="B17" s="3"/>
      <c r="C17" s="3"/>
      <c r="D17" s="3"/>
    </row>
    <row r="18" spans="1:7" x14ac:dyDescent="0.2">
      <c r="A18" t="s">
        <v>393</v>
      </c>
    </row>
    <row r="19" spans="1:7" x14ac:dyDescent="0.2">
      <c r="A19" t="s">
        <v>130</v>
      </c>
      <c r="D19">
        <v>7</v>
      </c>
    </row>
    <row r="20" spans="1:7" x14ac:dyDescent="0.2">
      <c r="A20" t="s">
        <v>131</v>
      </c>
      <c r="B20">
        <v>7</v>
      </c>
    </row>
    <row r="21" spans="1:7" x14ac:dyDescent="0.2">
      <c r="A21" t="s">
        <v>133</v>
      </c>
    </row>
    <row r="22" spans="1:7" x14ac:dyDescent="0.2">
      <c r="A22" t="s">
        <v>132</v>
      </c>
      <c r="D22">
        <v>15</v>
      </c>
    </row>
    <row r="24" spans="1:7" x14ac:dyDescent="0.2">
      <c r="A24" s="3" t="s">
        <v>135</v>
      </c>
    </row>
    <row r="25" spans="1:7" x14ac:dyDescent="0.2">
      <c r="A25" t="s">
        <v>393</v>
      </c>
    </row>
    <row r="26" spans="1:7" x14ac:dyDescent="0.2">
      <c r="A26" t="s">
        <v>136</v>
      </c>
      <c r="E26">
        <v>1</v>
      </c>
      <c r="F26">
        <v>26</v>
      </c>
    </row>
    <row r="27" spans="1:7" x14ac:dyDescent="0.2">
      <c r="A27" t="s">
        <v>137</v>
      </c>
      <c r="F27">
        <v>30</v>
      </c>
    </row>
    <row r="29" spans="1:7" x14ac:dyDescent="0.2">
      <c r="A29" s="3" t="s">
        <v>15</v>
      </c>
    </row>
    <row r="30" spans="1:7" x14ac:dyDescent="0.2">
      <c r="A30" t="s">
        <v>393</v>
      </c>
    </row>
    <row r="31" spans="1:7" x14ac:dyDescent="0.2">
      <c r="A31" t="s">
        <v>140</v>
      </c>
      <c r="G31">
        <v>1</v>
      </c>
    </row>
    <row r="32" spans="1:7" x14ac:dyDescent="0.2">
      <c r="A32" t="s">
        <v>138</v>
      </c>
      <c r="D32">
        <v>3</v>
      </c>
    </row>
    <row r="33" spans="1:4" x14ac:dyDescent="0.2">
      <c r="A33" t="s">
        <v>139</v>
      </c>
    </row>
    <row r="35" spans="1:4" x14ac:dyDescent="0.2">
      <c r="A35" s="3" t="s">
        <v>18</v>
      </c>
    </row>
    <row r="36" spans="1:4" x14ac:dyDescent="0.2">
      <c r="A36" t="s">
        <v>393</v>
      </c>
    </row>
    <row r="37" spans="1:4" x14ac:dyDescent="0.2">
      <c r="A37" t="s">
        <v>141</v>
      </c>
      <c r="C37">
        <v>9</v>
      </c>
    </row>
    <row r="38" spans="1:4" x14ac:dyDescent="0.2">
      <c r="A38" t="s">
        <v>142</v>
      </c>
      <c r="B38">
        <v>9</v>
      </c>
    </row>
    <row r="40" spans="1:4" x14ac:dyDescent="0.2">
      <c r="A40" s="3" t="s">
        <v>24</v>
      </c>
    </row>
    <row r="41" spans="1:4" x14ac:dyDescent="0.2">
      <c r="A41" t="s">
        <v>393</v>
      </c>
    </row>
    <row r="42" spans="1:4" x14ac:dyDescent="0.2">
      <c r="A42" t="s">
        <v>143</v>
      </c>
      <c r="C42">
        <v>7</v>
      </c>
    </row>
    <row r="43" spans="1:4" x14ac:dyDescent="0.2">
      <c r="A43" t="s">
        <v>130</v>
      </c>
      <c r="D43">
        <v>7</v>
      </c>
    </row>
    <row r="44" spans="1:4" x14ac:dyDescent="0.2">
      <c r="A44" t="s">
        <v>144</v>
      </c>
    </row>
    <row r="46" spans="1:4" x14ac:dyDescent="0.2">
      <c r="A46" s="3" t="s">
        <v>145</v>
      </c>
    </row>
    <row r="47" spans="1:4" x14ac:dyDescent="0.2">
      <c r="A47" t="s">
        <v>393</v>
      </c>
    </row>
    <row r="48" spans="1:4" x14ac:dyDescent="0.2">
      <c r="A48" t="s">
        <v>479</v>
      </c>
      <c r="D48">
        <v>15</v>
      </c>
    </row>
    <row r="49" spans="1:9" x14ac:dyDescent="0.2">
      <c r="A49" t="s">
        <v>146</v>
      </c>
      <c r="B49">
        <f ca="1">100*(1-2.71828^(-BaseSpeed/60*15*(WhiteMHConnects+YellowConnects+WindfuryConnects+HoJConnects)))</f>
        <v>31.794360356254092</v>
      </c>
    </row>
    <row r="50" spans="1:9" x14ac:dyDescent="0.2">
      <c r="A50" t="s">
        <v>148</v>
      </c>
      <c r="H50">
        <f ca="1">40*6*BaseSpeed/60*0.8*(WhiteMHConnects+YellowConnects+WindfuryConnects+HoJConnects+SSConnects)*IF(Spell_Crit&gt;0,1+1.5*Spell_Crit/100,1)</f>
        <v>6.2202476839597365</v>
      </c>
      <c r="I50">
        <f ca="1">40*6*BaseSpeed/60*0.8*(WhiteMHConnects20+YellowConnects20+WindfuryConnects20+HoJConnects20+SSConnects20)*IF(Spell_Crit&gt;0,1+1.5*Spell_Crit/100,1)</f>
        <v>8.1083976670148576</v>
      </c>
    </row>
    <row r="51" spans="1:9" x14ac:dyDescent="0.2">
      <c r="A51" t="s">
        <v>150</v>
      </c>
      <c r="H51">
        <f ca="1">30*6*BaseSpeed/60*0.8*(WhiteMHConnects+YellowConnects+WindfuryConnects+HoJConnects+SSConnects)</f>
        <v>3.6733746165116554</v>
      </c>
      <c r="I51">
        <f ca="1">30*6*BaseSpeed/60*0.8*(WhiteMHConnects20+YellowConnects20+WindfuryConnects20+HoJConnects20+SSConnects20)</f>
        <v>4.7884238191032624</v>
      </c>
    </row>
    <row r="52" spans="1:9" x14ac:dyDescent="0.2">
      <c r="A52" t="s">
        <v>147</v>
      </c>
      <c r="B52">
        <v>15</v>
      </c>
    </row>
    <row r="53" spans="1:9" x14ac:dyDescent="0.2">
      <c r="A53" t="s">
        <v>149</v>
      </c>
    </row>
    <row r="55" spans="1:9" x14ac:dyDescent="0.2">
      <c r="A55" s="3" t="s">
        <v>151</v>
      </c>
    </row>
    <row r="56" spans="1:9" x14ac:dyDescent="0.2">
      <c r="A56" t="s">
        <v>393</v>
      </c>
    </row>
    <row r="57" spans="1:9" x14ac:dyDescent="0.2">
      <c r="A57" t="s">
        <v>479</v>
      </c>
      <c r="D57">
        <v>15</v>
      </c>
    </row>
    <row r="58" spans="1:9" x14ac:dyDescent="0.2">
      <c r="A58" t="s">
        <v>146</v>
      </c>
      <c r="B58">
        <f ca="1">100*(1-2.71828^(-BaseOHSpeed/60*15*WhiteOHConnects))</f>
        <v>21.609425386264427</v>
      </c>
    </row>
    <row r="59" spans="1:9" x14ac:dyDescent="0.2">
      <c r="A59" t="s">
        <v>148</v>
      </c>
      <c r="H59">
        <f ca="1">40*6*BaseOHSpeed/60*0.8*WhiteOHConnects*IF(Spell_Crit&gt;0,1+1.5*Spell_Crit/100,1)</f>
        <v>3.9577938850125221</v>
      </c>
      <c r="I59">
        <f ca="1">40*6*BaseOHSpeed/60*0.8*WhiteOHConnects20*IF(Spell_Crit&gt;0,1+1.5*Spell_Crit/100,1)</f>
        <v>4.009133185836026</v>
      </c>
    </row>
    <row r="60" spans="1:9" x14ac:dyDescent="0.2">
      <c r="A60" t="s">
        <v>150</v>
      </c>
      <c r="H60">
        <f ca="1">30*6*BaseOHSpeed/60*0.8*WhiteOHConnects</f>
        <v>2.3372798533538521</v>
      </c>
      <c r="I60">
        <f ca="1">30*6*BaseOHSpeed/60*0.8*WhiteOHConnects20</f>
        <v>2.3675983380921415</v>
      </c>
    </row>
    <row r="61" spans="1:9" x14ac:dyDescent="0.2">
      <c r="A61" t="s">
        <v>147</v>
      </c>
      <c r="B61">
        <v>15</v>
      </c>
    </row>
    <row r="62" spans="1:9" x14ac:dyDescent="0.2">
      <c r="A62" t="s">
        <v>149</v>
      </c>
    </row>
    <row r="64" spans="1:9" x14ac:dyDescent="0.2">
      <c r="A64" s="3" t="s">
        <v>152</v>
      </c>
    </row>
    <row r="65" spans="1:4" x14ac:dyDescent="0.2">
      <c r="A65" t="s">
        <v>393</v>
      </c>
    </row>
    <row r="66" spans="1:4" x14ac:dyDescent="0.2">
      <c r="A66" t="s">
        <v>153</v>
      </c>
      <c r="B66">
        <v>4</v>
      </c>
      <c r="C66">
        <v>4</v>
      </c>
      <c r="D66">
        <v>4</v>
      </c>
    </row>
    <row r="67" spans="1:4" x14ac:dyDescent="0.2">
      <c r="A67" t="s">
        <v>155</v>
      </c>
    </row>
    <row r="68" spans="1:4" x14ac:dyDescent="0.2">
      <c r="A68" t="s">
        <v>154</v>
      </c>
      <c r="B68">
        <v>3</v>
      </c>
      <c r="C68">
        <v>3</v>
      </c>
      <c r="D68">
        <v>3</v>
      </c>
    </row>
  </sheetData>
  <phoneticPr fontId="3" type="noConversion"/>
  <pageMargins left="0.75" right="0.75" top="1" bottom="1" header="0.5" footer="0.5"/>
  <pageSetup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C1802"/>
  <sheetViews>
    <sheetView workbookViewId="0">
      <selection activeCell="I22" sqref="I22"/>
    </sheetView>
  </sheetViews>
  <sheetFormatPr defaultRowHeight="12.75" x14ac:dyDescent="0.2"/>
  <cols>
    <col min="1" max="1" width="13.7109375" customWidth="1"/>
    <col min="2" max="2" width="13" customWidth="1"/>
    <col min="3" max="3" width="20.7109375" customWidth="1"/>
  </cols>
  <sheetData>
    <row r="1" spans="1:3" x14ac:dyDescent="0.2">
      <c r="A1" s="12" t="s">
        <v>767</v>
      </c>
      <c r="B1" s="12" t="s">
        <v>891</v>
      </c>
      <c r="C1" s="12" t="s">
        <v>892</v>
      </c>
    </row>
    <row r="2" spans="1:3" x14ac:dyDescent="0.2">
      <c r="A2">
        <v>0</v>
      </c>
      <c r="B2">
        <v>0</v>
      </c>
      <c r="C2">
        <f>SUM($B$2:B2)</f>
        <v>0</v>
      </c>
    </row>
    <row r="3" spans="1:3" x14ac:dyDescent="0.2">
      <c r="A3">
        <v>1</v>
      </c>
      <c r="B3">
        <f t="shared" ref="B3:B4" si="0">IF((A2-IF(A2+1/120&gt;1,ROUNDDOWN(A2/120,0)*120,0))/20&lt;1,ROUNDDOWN((A2-120*ROUNDDOWN(A2/120,0))/2,0)*65+65,0)</f>
        <v>65</v>
      </c>
      <c r="C3">
        <f>SUM($B$2:B3)/A3</f>
        <v>65</v>
      </c>
    </row>
    <row r="4" spans="1:3" x14ac:dyDescent="0.2">
      <c r="A4">
        <v>2</v>
      </c>
      <c r="B4">
        <f t="shared" si="0"/>
        <v>65</v>
      </c>
      <c r="C4">
        <f>SUM($B$2:B4)/A4</f>
        <v>65</v>
      </c>
    </row>
    <row r="5" spans="1:3" x14ac:dyDescent="0.2">
      <c r="A5">
        <v>3</v>
      </c>
      <c r="B5">
        <f t="shared" ref="B5:B68" si="1">IF((A4-IF(A4+1/120&gt;1,ROUNDDOWN(A4/120,0)*120,0))/20&lt;1,ROUNDDOWN((A4-120*ROUNDDOWN(A4/120,0))/2,0)*65+65,0)</f>
        <v>130</v>
      </c>
      <c r="C5">
        <f>SUM($B$2:B5)/A5</f>
        <v>86.666666666666671</v>
      </c>
    </row>
    <row r="6" spans="1:3" x14ac:dyDescent="0.2">
      <c r="A6">
        <v>4</v>
      </c>
      <c r="B6">
        <f t="shared" si="1"/>
        <v>130</v>
      </c>
      <c r="C6">
        <f>SUM($B$2:B6)/A6</f>
        <v>97.5</v>
      </c>
    </row>
    <row r="7" spans="1:3" x14ac:dyDescent="0.2">
      <c r="A7">
        <v>5</v>
      </c>
      <c r="B7">
        <f t="shared" si="1"/>
        <v>195</v>
      </c>
      <c r="C7">
        <f>SUM($B$2:B7)/A7</f>
        <v>117</v>
      </c>
    </row>
    <row r="8" spans="1:3" x14ac:dyDescent="0.2">
      <c r="A8">
        <v>6</v>
      </c>
      <c r="B8">
        <f t="shared" si="1"/>
        <v>195</v>
      </c>
      <c r="C8">
        <f>SUM($B$2:B8)/A8</f>
        <v>130</v>
      </c>
    </row>
    <row r="9" spans="1:3" x14ac:dyDescent="0.2">
      <c r="A9">
        <v>7</v>
      </c>
      <c r="B9">
        <f t="shared" si="1"/>
        <v>260</v>
      </c>
      <c r="C9">
        <f>SUM($B$2:B9)/A9</f>
        <v>148.57142857142858</v>
      </c>
    </row>
    <row r="10" spans="1:3" x14ac:dyDescent="0.2">
      <c r="A10">
        <v>8</v>
      </c>
      <c r="B10">
        <f t="shared" si="1"/>
        <v>260</v>
      </c>
      <c r="C10">
        <f>SUM($B$2:B10)/A10</f>
        <v>162.5</v>
      </c>
    </row>
    <row r="11" spans="1:3" x14ac:dyDescent="0.2">
      <c r="A11">
        <v>9</v>
      </c>
      <c r="B11">
        <f t="shared" si="1"/>
        <v>325</v>
      </c>
      <c r="C11">
        <f>SUM($B$2:B11)/A11</f>
        <v>180.55555555555554</v>
      </c>
    </row>
    <row r="12" spans="1:3" x14ac:dyDescent="0.2">
      <c r="A12">
        <v>10</v>
      </c>
      <c r="B12">
        <f t="shared" si="1"/>
        <v>325</v>
      </c>
      <c r="C12">
        <f>SUM($B$2:B12)/A12</f>
        <v>195</v>
      </c>
    </row>
    <row r="13" spans="1:3" x14ac:dyDescent="0.2">
      <c r="A13">
        <v>11</v>
      </c>
      <c r="B13">
        <f t="shared" si="1"/>
        <v>390</v>
      </c>
      <c r="C13">
        <f>SUM($B$2:B13)/A13</f>
        <v>212.72727272727272</v>
      </c>
    </row>
    <row r="14" spans="1:3" x14ac:dyDescent="0.2">
      <c r="A14">
        <v>12</v>
      </c>
      <c r="B14">
        <f t="shared" si="1"/>
        <v>390</v>
      </c>
      <c r="C14">
        <f>SUM($B$2:B14)/A14</f>
        <v>227.5</v>
      </c>
    </row>
    <row r="15" spans="1:3" x14ac:dyDescent="0.2">
      <c r="A15">
        <v>13</v>
      </c>
      <c r="B15">
        <f t="shared" si="1"/>
        <v>455</v>
      </c>
      <c r="C15">
        <f>SUM($B$2:B15)/A15</f>
        <v>245</v>
      </c>
    </row>
    <row r="16" spans="1:3" x14ac:dyDescent="0.2">
      <c r="A16">
        <v>14</v>
      </c>
      <c r="B16">
        <f t="shared" si="1"/>
        <v>455</v>
      </c>
      <c r="C16">
        <f>SUM($B$2:B16)/A16</f>
        <v>260</v>
      </c>
    </row>
    <row r="17" spans="1:3" x14ac:dyDescent="0.2">
      <c r="A17">
        <v>15</v>
      </c>
      <c r="B17">
        <f t="shared" si="1"/>
        <v>520</v>
      </c>
      <c r="C17">
        <f>SUM($B$2:B17)/A17</f>
        <v>277.33333333333331</v>
      </c>
    </row>
    <row r="18" spans="1:3" x14ac:dyDescent="0.2">
      <c r="A18">
        <v>16</v>
      </c>
      <c r="B18">
        <f t="shared" si="1"/>
        <v>520</v>
      </c>
      <c r="C18">
        <f>SUM($B$2:B18)/A18</f>
        <v>292.5</v>
      </c>
    </row>
    <row r="19" spans="1:3" x14ac:dyDescent="0.2">
      <c r="A19">
        <v>17</v>
      </c>
      <c r="B19">
        <f t="shared" si="1"/>
        <v>585</v>
      </c>
      <c r="C19">
        <f>SUM($B$2:B19)/A19</f>
        <v>309.70588235294116</v>
      </c>
    </row>
    <row r="20" spans="1:3" x14ac:dyDescent="0.2">
      <c r="A20">
        <v>18</v>
      </c>
      <c r="B20">
        <f t="shared" si="1"/>
        <v>585</v>
      </c>
      <c r="C20">
        <f>SUM($B$2:B20)/A20</f>
        <v>325</v>
      </c>
    </row>
    <row r="21" spans="1:3" x14ac:dyDescent="0.2">
      <c r="A21">
        <v>19</v>
      </c>
      <c r="B21">
        <f t="shared" si="1"/>
        <v>650</v>
      </c>
      <c r="C21">
        <f>SUM($B$2:B21)/A21</f>
        <v>342.10526315789474</v>
      </c>
    </row>
    <row r="22" spans="1:3" x14ac:dyDescent="0.2">
      <c r="A22">
        <v>20</v>
      </c>
      <c r="B22">
        <f t="shared" si="1"/>
        <v>650</v>
      </c>
      <c r="C22">
        <f>SUM($B$2:B22)/A22</f>
        <v>357.5</v>
      </c>
    </row>
    <row r="23" spans="1:3" x14ac:dyDescent="0.2">
      <c r="A23">
        <v>21</v>
      </c>
      <c r="B23">
        <f t="shared" si="1"/>
        <v>0</v>
      </c>
      <c r="C23">
        <f>SUM($B$2:B23)/A23</f>
        <v>340.47619047619048</v>
      </c>
    </row>
    <row r="24" spans="1:3" x14ac:dyDescent="0.2">
      <c r="A24">
        <v>22</v>
      </c>
      <c r="B24">
        <f t="shared" si="1"/>
        <v>0</v>
      </c>
      <c r="C24">
        <f>SUM($B$2:B24)/A24</f>
        <v>325</v>
      </c>
    </row>
    <row r="25" spans="1:3" x14ac:dyDescent="0.2">
      <c r="A25">
        <v>23</v>
      </c>
      <c r="B25">
        <f t="shared" si="1"/>
        <v>0</v>
      </c>
      <c r="C25">
        <f>SUM($B$2:B25)/A25</f>
        <v>310.86956521739131</v>
      </c>
    </row>
    <row r="26" spans="1:3" x14ac:dyDescent="0.2">
      <c r="A26">
        <v>24</v>
      </c>
      <c r="B26">
        <f t="shared" si="1"/>
        <v>0</v>
      </c>
      <c r="C26">
        <f>SUM($B$2:B26)/A26</f>
        <v>297.91666666666669</v>
      </c>
    </row>
    <row r="27" spans="1:3" x14ac:dyDescent="0.2">
      <c r="A27">
        <v>25</v>
      </c>
      <c r="B27">
        <f t="shared" si="1"/>
        <v>0</v>
      </c>
      <c r="C27">
        <f>SUM($B$2:B27)/A27</f>
        <v>286</v>
      </c>
    </row>
    <row r="28" spans="1:3" x14ac:dyDescent="0.2">
      <c r="A28">
        <v>26</v>
      </c>
      <c r="B28">
        <f t="shared" si="1"/>
        <v>0</v>
      </c>
      <c r="C28">
        <f>SUM($B$2:B28)/A28</f>
        <v>275</v>
      </c>
    </row>
    <row r="29" spans="1:3" x14ac:dyDescent="0.2">
      <c r="A29">
        <v>27</v>
      </c>
      <c r="B29">
        <f t="shared" si="1"/>
        <v>0</v>
      </c>
      <c r="C29">
        <f>SUM($B$2:B29)/A29</f>
        <v>264.81481481481484</v>
      </c>
    </row>
    <row r="30" spans="1:3" x14ac:dyDescent="0.2">
      <c r="A30">
        <v>28</v>
      </c>
      <c r="B30">
        <f t="shared" si="1"/>
        <v>0</v>
      </c>
      <c r="C30">
        <f>SUM($B$2:B30)/A30</f>
        <v>255.35714285714286</v>
      </c>
    </row>
    <row r="31" spans="1:3" x14ac:dyDescent="0.2">
      <c r="A31">
        <v>29</v>
      </c>
      <c r="B31">
        <f t="shared" si="1"/>
        <v>0</v>
      </c>
      <c r="C31">
        <f>SUM($B$2:B31)/A31</f>
        <v>246.55172413793105</v>
      </c>
    </row>
    <row r="32" spans="1:3" x14ac:dyDescent="0.2">
      <c r="A32">
        <v>30</v>
      </c>
      <c r="B32">
        <f t="shared" si="1"/>
        <v>0</v>
      </c>
      <c r="C32">
        <f>SUM($B$2:B32)/A32</f>
        <v>238.33333333333334</v>
      </c>
    </row>
    <row r="33" spans="1:3" x14ac:dyDescent="0.2">
      <c r="A33">
        <v>31</v>
      </c>
      <c r="B33">
        <f t="shared" si="1"/>
        <v>0</v>
      </c>
      <c r="C33">
        <f>SUM($B$2:B33)/A33</f>
        <v>230.64516129032259</v>
      </c>
    </row>
    <row r="34" spans="1:3" x14ac:dyDescent="0.2">
      <c r="A34">
        <v>32</v>
      </c>
      <c r="B34">
        <f t="shared" si="1"/>
        <v>0</v>
      </c>
      <c r="C34">
        <f>SUM($B$2:B34)/A34</f>
        <v>223.4375</v>
      </c>
    </row>
    <row r="35" spans="1:3" x14ac:dyDescent="0.2">
      <c r="A35">
        <v>33</v>
      </c>
      <c r="B35">
        <f t="shared" si="1"/>
        <v>0</v>
      </c>
      <c r="C35">
        <f>SUM($B$2:B35)/A35</f>
        <v>216.66666666666666</v>
      </c>
    </row>
    <row r="36" spans="1:3" x14ac:dyDescent="0.2">
      <c r="A36">
        <v>34</v>
      </c>
      <c r="B36">
        <f t="shared" si="1"/>
        <v>0</v>
      </c>
      <c r="C36">
        <f>SUM($B$2:B36)/A36</f>
        <v>210.29411764705881</v>
      </c>
    </row>
    <row r="37" spans="1:3" x14ac:dyDescent="0.2">
      <c r="A37">
        <v>35</v>
      </c>
      <c r="B37">
        <f t="shared" si="1"/>
        <v>0</v>
      </c>
      <c r="C37">
        <f>SUM($B$2:B37)/A37</f>
        <v>204.28571428571428</v>
      </c>
    </row>
    <row r="38" spans="1:3" x14ac:dyDescent="0.2">
      <c r="A38">
        <v>36</v>
      </c>
      <c r="B38">
        <f t="shared" si="1"/>
        <v>0</v>
      </c>
      <c r="C38">
        <f>SUM($B$2:B38)/A38</f>
        <v>198.61111111111111</v>
      </c>
    </row>
    <row r="39" spans="1:3" x14ac:dyDescent="0.2">
      <c r="A39">
        <v>37</v>
      </c>
      <c r="B39">
        <f t="shared" si="1"/>
        <v>0</v>
      </c>
      <c r="C39">
        <f>SUM($B$2:B39)/A39</f>
        <v>193.24324324324326</v>
      </c>
    </row>
    <row r="40" spans="1:3" x14ac:dyDescent="0.2">
      <c r="A40">
        <v>38</v>
      </c>
      <c r="B40">
        <f t="shared" si="1"/>
        <v>0</v>
      </c>
      <c r="C40">
        <f>SUM($B$2:B40)/A40</f>
        <v>188.15789473684211</v>
      </c>
    </row>
    <row r="41" spans="1:3" x14ac:dyDescent="0.2">
      <c r="A41">
        <v>39</v>
      </c>
      <c r="B41">
        <f t="shared" si="1"/>
        <v>0</v>
      </c>
      <c r="C41">
        <f>SUM($B$2:B41)/A41</f>
        <v>183.33333333333334</v>
      </c>
    </row>
    <row r="42" spans="1:3" x14ac:dyDescent="0.2">
      <c r="A42">
        <v>40</v>
      </c>
      <c r="B42">
        <f t="shared" si="1"/>
        <v>0</v>
      </c>
      <c r="C42">
        <f>SUM($B$2:B42)/A42</f>
        <v>178.75</v>
      </c>
    </row>
    <row r="43" spans="1:3" x14ac:dyDescent="0.2">
      <c r="A43">
        <v>41</v>
      </c>
      <c r="B43">
        <f t="shared" si="1"/>
        <v>0</v>
      </c>
      <c r="C43">
        <f>SUM($B$2:B43)/A43</f>
        <v>174.39024390243901</v>
      </c>
    </row>
    <row r="44" spans="1:3" x14ac:dyDescent="0.2">
      <c r="A44">
        <v>42</v>
      </c>
      <c r="B44">
        <f t="shared" si="1"/>
        <v>0</v>
      </c>
      <c r="C44">
        <f>SUM($B$2:B44)/A44</f>
        <v>170.23809523809524</v>
      </c>
    </row>
    <row r="45" spans="1:3" x14ac:dyDescent="0.2">
      <c r="A45">
        <v>43</v>
      </c>
      <c r="B45">
        <f t="shared" si="1"/>
        <v>0</v>
      </c>
      <c r="C45">
        <f>SUM($B$2:B45)/A45</f>
        <v>166.27906976744185</v>
      </c>
    </row>
    <row r="46" spans="1:3" x14ac:dyDescent="0.2">
      <c r="A46">
        <v>44</v>
      </c>
      <c r="B46">
        <f t="shared" si="1"/>
        <v>0</v>
      </c>
      <c r="C46">
        <f>SUM($B$2:B46)/A46</f>
        <v>162.5</v>
      </c>
    </row>
    <row r="47" spans="1:3" x14ac:dyDescent="0.2">
      <c r="A47">
        <v>45</v>
      </c>
      <c r="B47">
        <f t="shared" si="1"/>
        <v>0</v>
      </c>
      <c r="C47">
        <f>SUM($B$2:B47)/A47</f>
        <v>158.88888888888889</v>
      </c>
    </row>
    <row r="48" spans="1:3" x14ac:dyDescent="0.2">
      <c r="A48">
        <v>46</v>
      </c>
      <c r="B48">
        <f t="shared" si="1"/>
        <v>0</v>
      </c>
      <c r="C48">
        <f>SUM($B$2:B48)/A48</f>
        <v>155.43478260869566</v>
      </c>
    </row>
    <row r="49" spans="1:3" x14ac:dyDescent="0.2">
      <c r="A49">
        <v>47</v>
      </c>
      <c r="B49">
        <f t="shared" si="1"/>
        <v>0</v>
      </c>
      <c r="C49">
        <f>SUM($B$2:B49)/A49</f>
        <v>152.12765957446808</v>
      </c>
    </row>
    <row r="50" spans="1:3" x14ac:dyDescent="0.2">
      <c r="A50">
        <v>48</v>
      </c>
      <c r="B50">
        <f t="shared" si="1"/>
        <v>0</v>
      </c>
      <c r="C50">
        <f>SUM($B$2:B50)/A50</f>
        <v>148.95833333333334</v>
      </c>
    </row>
    <row r="51" spans="1:3" x14ac:dyDescent="0.2">
      <c r="A51">
        <v>49</v>
      </c>
      <c r="B51">
        <f t="shared" si="1"/>
        <v>0</v>
      </c>
      <c r="C51">
        <f>SUM($B$2:B51)/A51</f>
        <v>145.91836734693877</v>
      </c>
    </row>
    <row r="52" spans="1:3" x14ac:dyDescent="0.2">
      <c r="A52">
        <v>50</v>
      </c>
      <c r="B52">
        <f t="shared" si="1"/>
        <v>0</v>
      </c>
      <c r="C52">
        <f>SUM($B$2:B52)/A52</f>
        <v>143</v>
      </c>
    </row>
    <row r="53" spans="1:3" x14ac:dyDescent="0.2">
      <c r="A53">
        <v>51</v>
      </c>
      <c r="B53">
        <f t="shared" si="1"/>
        <v>0</v>
      </c>
      <c r="C53">
        <f>SUM($B$2:B53)/A53</f>
        <v>140.19607843137254</v>
      </c>
    </row>
    <row r="54" spans="1:3" x14ac:dyDescent="0.2">
      <c r="A54">
        <v>52</v>
      </c>
      <c r="B54">
        <f t="shared" si="1"/>
        <v>0</v>
      </c>
      <c r="C54">
        <f>SUM($B$2:B54)/A54</f>
        <v>137.5</v>
      </c>
    </row>
    <row r="55" spans="1:3" x14ac:dyDescent="0.2">
      <c r="A55">
        <v>53</v>
      </c>
      <c r="B55">
        <f t="shared" si="1"/>
        <v>0</v>
      </c>
      <c r="C55">
        <f>SUM($B$2:B55)/A55</f>
        <v>134.90566037735849</v>
      </c>
    </row>
    <row r="56" spans="1:3" x14ac:dyDescent="0.2">
      <c r="A56">
        <v>54</v>
      </c>
      <c r="B56">
        <f t="shared" si="1"/>
        <v>0</v>
      </c>
      <c r="C56">
        <f>SUM($B$2:B56)/A56</f>
        <v>132.40740740740742</v>
      </c>
    </row>
    <row r="57" spans="1:3" x14ac:dyDescent="0.2">
      <c r="A57">
        <v>55</v>
      </c>
      <c r="B57">
        <f t="shared" si="1"/>
        <v>0</v>
      </c>
      <c r="C57">
        <f>SUM($B$2:B57)/A57</f>
        <v>130</v>
      </c>
    </row>
    <row r="58" spans="1:3" x14ac:dyDescent="0.2">
      <c r="A58">
        <v>56</v>
      </c>
      <c r="B58">
        <f t="shared" si="1"/>
        <v>0</v>
      </c>
      <c r="C58">
        <f>SUM($B$2:B58)/A58</f>
        <v>127.67857142857143</v>
      </c>
    </row>
    <row r="59" spans="1:3" x14ac:dyDescent="0.2">
      <c r="A59">
        <v>57</v>
      </c>
      <c r="B59">
        <f t="shared" si="1"/>
        <v>0</v>
      </c>
      <c r="C59">
        <f>SUM($B$2:B59)/A59</f>
        <v>125.43859649122807</v>
      </c>
    </row>
    <row r="60" spans="1:3" x14ac:dyDescent="0.2">
      <c r="A60">
        <v>58</v>
      </c>
      <c r="B60">
        <f t="shared" si="1"/>
        <v>0</v>
      </c>
      <c r="C60">
        <f>SUM($B$2:B60)/A60</f>
        <v>123.27586206896552</v>
      </c>
    </row>
    <row r="61" spans="1:3" x14ac:dyDescent="0.2">
      <c r="A61">
        <v>59</v>
      </c>
      <c r="B61">
        <f t="shared" si="1"/>
        <v>0</v>
      </c>
      <c r="C61">
        <f>SUM($B$2:B61)/A61</f>
        <v>121.1864406779661</v>
      </c>
    </row>
    <row r="62" spans="1:3" x14ac:dyDescent="0.2">
      <c r="A62">
        <v>60</v>
      </c>
      <c r="B62">
        <f t="shared" si="1"/>
        <v>0</v>
      </c>
      <c r="C62">
        <f>SUM($B$2:B62)/A62</f>
        <v>119.16666666666667</v>
      </c>
    </row>
    <row r="63" spans="1:3" x14ac:dyDescent="0.2">
      <c r="A63">
        <v>61</v>
      </c>
      <c r="B63">
        <f t="shared" si="1"/>
        <v>0</v>
      </c>
      <c r="C63">
        <f>SUM($B$2:B63)/A63</f>
        <v>117.21311475409836</v>
      </c>
    </row>
    <row r="64" spans="1:3" x14ac:dyDescent="0.2">
      <c r="A64">
        <v>62</v>
      </c>
      <c r="B64">
        <f t="shared" si="1"/>
        <v>0</v>
      </c>
      <c r="C64">
        <f>SUM($B$2:B64)/A64</f>
        <v>115.3225806451613</v>
      </c>
    </row>
    <row r="65" spans="1:3" x14ac:dyDescent="0.2">
      <c r="A65">
        <v>63</v>
      </c>
      <c r="B65">
        <f t="shared" si="1"/>
        <v>0</v>
      </c>
      <c r="C65">
        <f>SUM($B$2:B65)/A65</f>
        <v>113.49206349206349</v>
      </c>
    </row>
    <row r="66" spans="1:3" x14ac:dyDescent="0.2">
      <c r="A66">
        <v>64</v>
      </c>
      <c r="B66">
        <f t="shared" si="1"/>
        <v>0</v>
      </c>
      <c r="C66">
        <f>SUM($B$2:B66)/A66</f>
        <v>111.71875</v>
      </c>
    </row>
    <row r="67" spans="1:3" x14ac:dyDescent="0.2">
      <c r="A67">
        <v>65</v>
      </c>
      <c r="B67">
        <f t="shared" si="1"/>
        <v>0</v>
      </c>
      <c r="C67">
        <f>SUM($B$2:B67)/A67</f>
        <v>110</v>
      </c>
    </row>
    <row r="68" spans="1:3" x14ac:dyDescent="0.2">
      <c r="A68">
        <v>66</v>
      </c>
      <c r="B68">
        <f t="shared" si="1"/>
        <v>0</v>
      </c>
      <c r="C68">
        <f>SUM($B$2:B68)/A68</f>
        <v>108.33333333333333</v>
      </c>
    </row>
    <row r="69" spans="1:3" x14ac:dyDescent="0.2">
      <c r="A69">
        <v>67</v>
      </c>
      <c r="B69">
        <f t="shared" ref="B69:B132" si="2">IF((A68-IF(A68+1/120&gt;1,ROUNDDOWN(A68/120,0)*120,0))/20&lt;1,ROUNDDOWN((A68-120*ROUNDDOWN(A68/120,0))/2,0)*65+65,0)</f>
        <v>0</v>
      </c>
      <c r="C69">
        <f>SUM($B$2:B69)/A69</f>
        <v>106.71641791044776</v>
      </c>
    </row>
    <row r="70" spans="1:3" x14ac:dyDescent="0.2">
      <c r="A70">
        <v>68</v>
      </c>
      <c r="B70">
        <f t="shared" si="2"/>
        <v>0</v>
      </c>
      <c r="C70">
        <f>SUM($B$2:B70)/A70</f>
        <v>105.14705882352941</v>
      </c>
    </row>
    <row r="71" spans="1:3" x14ac:dyDescent="0.2">
      <c r="A71">
        <v>69</v>
      </c>
      <c r="B71">
        <f t="shared" si="2"/>
        <v>0</v>
      </c>
      <c r="C71">
        <f>SUM($B$2:B71)/A71</f>
        <v>103.62318840579709</v>
      </c>
    </row>
    <row r="72" spans="1:3" x14ac:dyDescent="0.2">
      <c r="A72">
        <v>70</v>
      </c>
      <c r="B72">
        <f t="shared" si="2"/>
        <v>0</v>
      </c>
      <c r="C72">
        <f>SUM($B$2:B72)/A72</f>
        <v>102.14285714285714</v>
      </c>
    </row>
    <row r="73" spans="1:3" x14ac:dyDescent="0.2">
      <c r="A73">
        <v>71</v>
      </c>
      <c r="B73">
        <f t="shared" si="2"/>
        <v>0</v>
      </c>
      <c r="C73">
        <f>SUM($B$2:B73)/A73</f>
        <v>100.70422535211267</v>
      </c>
    </row>
    <row r="74" spans="1:3" x14ac:dyDescent="0.2">
      <c r="A74">
        <v>72</v>
      </c>
      <c r="B74">
        <f t="shared" si="2"/>
        <v>0</v>
      </c>
      <c r="C74">
        <f>SUM($B$2:B74)/A74</f>
        <v>99.305555555555557</v>
      </c>
    </row>
    <row r="75" spans="1:3" x14ac:dyDescent="0.2">
      <c r="A75">
        <v>73</v>
      </c>
      <c r="B75">
        <f t="shared" si="2"/>
        <v>0</v>
      </c>
      <c r="C75">
        <f>SUM($B$2:B75)/A75</f>
        <v>97.945205479452056</v>
      </c>
    </row>
    <row r="76" spans="1:3" x14ac:dyDescent="0.2">
      <c r="A76">
        <v>74</v>
      </c>
      <c r="B76">
        <f t="shared" si="2"/>
        <v>0</v>
      </c>
      <c r="C76">
        <f>SUM($B$2:B76)/A76</f>
        <v>96.621621621621628</v>
      </c>
    </row>
    <row r="77" spans="1:3" x14ac:dyDescent="0.2">
      <c r="A77">
        <v>75</v>
      </c>
      <c r="B77">
        <f t="shared" si="2"/>
        <v>0</v>
      </c>
      <c r="C77">
        <f>SUM($B$2:B77)/A77</f>
        <v>95.333333333333329</v>
      </c>
    </row>
    <row r="78" spans="1:3" x14ac:dyDescent="0.2">
      <c r="A78">
        <v>76</v>
      </c>
      <c r="B78">
        <f t="shared" si="2"/>
        <v>0</v>
      </c>
      <c r="C78">
        <f>SUM($B$2:B78)/A78</f>
        <v>94.078947368421055</v>
      </c>
    </row>
    <row r="79" spans="1:3" x14ac:dyDescent="0.2">
      <c r="A79">
        <v>77</v>
      </c>
      <c r="B79">
        <f t="shared" si="2"/>
        <v>0</v>
      </c>
      <c r="C79">
        <f>SUM($B$2:B79)/A79</f>
        <v>92.857142857142861</v>
      </c>
    </row>
    <row r="80" spans="1:3" x14ac:dyDescent="0.2">
      <c r="A80">
        <v>78</v>
      </c>
      <c r="B80">
        <f t="shared" si="2"/>
        <v>0</v>
      </c>
      <c r="C80">
        <f>SUM($B$2:B80)/A80</f>
        <v>91.666666666666671</v>
      </c>
    </row>
    <row r="81" spans="1:3" x14ac:dyDescent="0.2">
      <c r="A81">
        <v>79</v>
      </c>
      <c r="B81">
        <f t="shared" si="2"/>
        <v>0</v>
      </c>
      <c r="C81">
        <f>SUM($B$2:B81)/A81</f>
        <v>90.506329113924053</v>
      </c>
    </row>
    <row r="82" spans="1:3" x14ac:dyDescent="0.2">
      <c r="A82">
        <v>80</v>
      </c>
      <c r="B82">
        <f t="shared" si="2"/>
        <v>0</v>
      </c>
      <c r="C82">
        <f>SUM($B$2:B82)/A82</f>
        <v>89.375</v>
      </c>
    </row>
    <row r="83" spans="1:3" x14ac:dyDescent="0.2">
      <c r="A83">
        <v>81</v>
      </c>
      <c r="B83">
        <f t="shared" si="2"/>
        <v>0</v>
      </c>
      <c r="C83">
        <f>SUM($B$2:B83)/A83</f>
        <v>88.271604938271608</v>
      </c>
    </row>
    <row r="84" spans="1:3" x14ac:dyDescent="0.2">
      <c r="A84">
        <v>82</v>
      </c>
      <c r="B84">
        <f t="shared" si="2"/>
        <v>0</v>
      </c>
      <c r="C84">
        <f>SUM($B$2:B84)/A84</f>
        <v>87.195121951219505</v>
      </c>
    </row>
    <row r="85" spans="1:3" x14ac:dyDescent="0.2">
      <c r="A85">
        <v>83</v>
      </c>
      <c r="B85">
        <f t="shared" si="2"/>
        <v>0</v>
      </c>
      <c r="C85">
        <f>SUM($B$2:B85)/A85</f>
        <v>86.144578313253007</v>
      </c>
    </row>
    <row r="86" spans="1:3" x14ac:dyDescent="0.2">
      <c r="A86">
        <v>84</v>
      </c>
      <c r="B86">
        <f t="shared" si="2"/>
        <v>0</v>
      </c>
      <c r="C86">
        <f>SUM($B$2:B86)/A86</f>
        <v>85.11904761904762</v>
      </c>
    </row>
    <row r="87" spans="1:3" x14ac:dyDescent="0.2">
      <c r="A87">
        <v>85</v>
      </c>
      <c r="B87">
        <f t="shared" si="2"/>
        <v>0</v>
      </c>
      <c r="C87">
        <f>SUM($B$2:B87)/A87</f>
        <v>84.117647058823536</v>
      </c>
    </row>
    <row r="88" spans="1:3" x14ac:dyDescent="0.2">
      <c r="A88">
        <v>86</v>
      </c>
      <c r="B88">
        <f t="shared" si="2"/>
        <v>0</v>
      </c>
      <c r="C88">
        <f>SUM($B$2:B88)/A88</f>
        <v>83.139534883720927</v>
      </c>
    </row>
    <row r="89" spans="1:3" x14ac:dyDescent="0.2">
      <c r="A89">
        <v>87</v>
      </c>
      <c r="B89">
        <f t="shared" si="2"/>
        <v>0</v>
      </c>
      <c r="C89">
        <f>SUM($B$2:B89)/A89</f>
        <v>82.183908045977006</v>
      </c>
    </row>
    <row r="90" spans="1:3" x14ac:dyDescent="0.2">
      <c r="A90">
        <v>88</v>
      </c>
      <c r="B90">
        <f t="shared" si="2"/>
        <v>0</v>
      </c>
      <c r="C90">
        <f>SUM($B$2:B90)/A90</f>
        <v>81.25</v>
      </c>
    </row>
    <row r="91" spans="1:3" x14ac:dyDescent="0.2">
      <c r="A91">
        <v>89</v>
      </c>
      <c r="B91">
        <f t="shared" si="2"/>
        <v>0</v>
      </c>
      <c r="C91">
        <f>SUM($B$2:B91)/A91</f>
        <v>80.337078651685388</v>
      </c>
    </row>
    <row r="92" spans="1:3" x14ac:dyDescent="0.2">
      <c r="A92">
        <v>90</v>
      </c>
      <c r="B92">
        <f t="shared" si="2"/>
        <v>0</v>
      </c>
      <c r="C92">
        <f>SUM($B$2:B92)/A92</f>
        <v>79.444444444444443</v>
      </c>
    </row>
    <row r="93" spans="1:3" x14ac:dyDescent="0.2">
      <c r="A93">
        <v>91</v>
      </c>
      <c r="B93">
        <f t="shared" si="2"/>
        <v>0</v>
      </c>
      <c r="C93">
        <f>SUM($B$2:B93)/A93</f>
        <v>78.571428571428569</v>
      </c>
    </row>
    <row r="94" spans="1:3" x14ac:dyDescent="0.2">
      <c r="A94">
        <v>92</v>
      </c>
      <c r="B94">
        <f t="shared" si="2"/>
        <v>0</v>
      </c>
      <c r="C94">
        <f>SUM($B$2:B94)/A94</f>
        <v>77.717391304347828</v>
      </c>
    </row>
    <row r="95" spans="1:3" x14ac:dyDescent="0.2">
      <c r="A95">
        <v>93</v>
      </c>
      <c r="B95">
        <f t="shared" si="2"/>
        <v>0</v>
      </c>
      <c r="C95">
        <f>SUM($B$2:B95)/A95</f>
        <v>76.881720430107521</v>
      </c>
    </row>
    <row r="96" spans="1:3" x14ac:dyDescent="0.2">
      <c r="A96">
        <v>94</v>
      </c>
      <c r="B96">
        <f t="shared" si="2"/>
        <v>0</v>
      </c>
      <c r="C96">
        <f>SUM($B$2:B96)/A96</f>
        <v>76.063829787234042</v>
      </c>
    </row>
    <row r="97" spans="1:3" x14ac:dyDescent="0.2">
      <c r="A97">
        <v>95</v>
      </c>
      <c r="B97">
        <f t="shared" si="2"/>
        <v>0</v>
      </c>
      <c r="C97">
        <f>SUM($B$2:B97)/A97</f>
        <v>75.263157894736835</v>
      </c>
    </row>
    <row r="98" spans="1:3" x14ac:dyDescent="0.2">
      <c r="A98">
        <v>96</v>
      </c>
      <c r="B98">
        <f t="shared" si="2"/>
        <v>0</v>
      </c>
      <c r="C98">
        <f>SUM($B$2:B98)/A98</f>
        <v>74.479166666666671</v>
      </c>
    </row>
    <row r="99" spans="1:3" x14ac:dyDescent="0.2">
      <c r="A99">
        <v>97</v>
      </c>
      <c r="B99">
        <f t="shared" si="2"/>
        <v>0</v>
      </c>
      <c r="C99">
        <f>SUM($B$2:B99)/A99</f>
        <v>73.711340206185568</v>
      </c>
    </row>
    <row r="100" spans="1:3" x14ac:dyDescent="0.2">
      <c r="A100">
        <v>98</v>
      </c>
      <c r="B100">
        <f t="shared" si="2"/>
        <v>0</v>
      </c>
      <c r="C100">
        <f>SUM($B$2:B100)/A100</f>
        <v>72.959183673469383</v>
      </c>
    </row>
    <row r="101" spans="1:3" x14ac:dyDescent="0.2">
      <c r="A101">
        <v>99</v>
      </c>
      <c r="B101">
        <f t="shared" si="2"/>
        <v>0</v>
      </c>
      <c r="C101">
        <f>SUM($B$2:B101)/A101</f>
        <v>72.222222222222229</v>
      </c>
    </row>
    <row r="102" spans="1:3" x14ac:dyDescent="0.2">
      <c r="A102">
        <v>100</v>
      </c>
      <c r="B102">
        <f t="shared" si="2"/>
        <v>0</v>
      </c>
      <c r="C102">
        <f>SUM($B$2:B102)/A102</f>
        <v>71.5</v>
      </c>
    </row>
    <row r="103" spans="1:3" x14ac:dyDescent="0.2">
      <c r="A103">
        <v>101</v>
      </c>
      <c r="B103">
        <f t="shared" si="2"/>
        <v>0</v>
      </c>
      <c r="C103">
        <f>SUM($B$2:B103)/A103</f>
        <v>70.792079207920793</v>
      </c>
    </row>
    <row r="104" spans="1:3" x14ac:dyDescent="0.2">
      <c r="A104">
        <v>102</v>
      </c>
      <c r="B104">
        <f t="shared" si="2"/>
        <v>0</v>
      </c>
      <c r="C104">
        <f>SUM($B$2:B104)/A104</f>
        <v>70.098039215686271</v>
      </c>
    </row>
    <row r="105" spans="1:3" x14ac:dyDescent="0.2">
      <c r="A105">
        <v>103</v>
      </c>
      <c r="B105">
        <f t="shared" si="2"/>
        <v>0</v>
      </c>
      <c r="C105">
        <f>SUM($B$2:B105)/A105</f>
        <v>69.417475728155338</v>
      </c>
    </row>
    <row r="106" spans="1:3" x14ac:dyDescent="0.2">
      <c r="A106">
        <v>104</v>
      </c>
      <c r="B106">
        <f t="shared" si="2"/>
        <v>0</v>
      </c>
      <c r="C106">
        <f>SUM($B$2:B106)/A106</f>
        <v>68.75</v>
      </c>
    </row>
    <row r="107" spans="1:3" x14ac:dyDescent="0.2">
      <c r="A107">
        <v>105</v>
      </c>
      <c r="B107">
        <f t="shared" si="2"/>
        <v>0</v>
      </c>
      <c r="C107">
        <f>SUM($B$2:B107)/A107</f>
        <v>68.095238095238102</v>
      </c>
    </row>
    <row r="108" spans="1:3" x14ac:dyDescent="0.2">
      <c r="A108">
        <v>106</v>
      </c>
      <c r="B108">
        <f t="shared" si="2"/>
        <v>0</v>
      </c>
      <c r="C108">
        <f>SUM($B$2:B108)/A108</f>
        <v>67.452830188679243</v>
      </c>
    </row>
    <row r="109" spans="1:3" x14ac:dyDescent="0.2">
      <c r="A109">
        <v>107</v>
      </c>
      <c r="B109">
        <f t="shared" si="2"/>
        <v>0</v>
      </c>
      <c r="C109">
        <f>SUM($B$2:B109)/A109</f>
        <v>66.822429906542055</v>
      </c>
    </row>
    <row r="110" spans="1:3" x14ac:dyDescent="0.2">
      <c r="A110">
        <v>108</v>
      </c>
      <c r="B110">
        <f t="shared" si="2"/>
        <v>0</v>
      </c>
      <c r="C110">
        <f>SUM($B$2:B110)/A110</f>
        <v>66.203703703703709</v>
      </c>
    </row>
    <row r="111" spans="1:3" x14ac:dyDescent="0.2">
      <c r="A111">
        <v>109</v>
      </c>
      <c r="B111">
        <f t="shared" si="2"/>
        <v>0</v>
      </c>
      <c r="C111">
        <f>SUM($B$2:B111)/A111</f>
        <v>65.596330275229363</v>
      </c>
    </row>
    <row r="112" spans="1:3" x14ac:dyDescent="0.2">
      <c r="A112">
        <v>110</v>
      </c>
      <c r="B112">
        <f t="shared" si="2"/>
        <v>0</v>
      </c>
      <c r="C112">
        <f>SUM($B$2:B112)/A112</f>
        <v>65</v>
      </c>
    </row>
    <row r="113" spans="1:3" x14ac:dyDescent="0.2">
      <c r="A113">
        <v>111</v>
      </c>
      <c r="B113">
        <f t="shared" si="2"/>
        <v>0</v>
      </c>
      <c r="C113">
        <f>SUM($B$2:B113)/A113</f>
        <v>64.414414414414409</v>
      </c>
    </row>
    <row r="114" spans="1:3" x14ac:dyDescent="0.2">
      <c r="A114">
        <v>112</v>
      </c>
      <c r="B114">
        <f t="shared" si="2"/>
        <v>0</v>
      </c>
      <c r="C114">
        <f>SUM($B$2:B114)/A114</f>
        <v>63.839285714285715</v>
      </c>
    </row>
    <row r="115" spans="1:3" x14ac:dyDescent="0.2">
      <c r="A115">
        <v>113</v>
      </c>
      <c r="B115">
        <f t="shared" si="2"/>
        <v>0</v>
      </c>
      <c r="C115">
        <f>SUM($B$2:B115)/A115</f>
        <v>63.274336283185839</v>
      </c>
    </row>
    <row r="116" spans="1:3" x14ac:dyDescent="0.2">
      <c r="A116">
        <v>114</v>
      </c>
      <c r="B116">
        <f t="shared" si="2"/>
        <v>0</v>
      </c>
      <c r="C116">
        <f>SUM($B$2:B116)/A116</f>
        <v>62.719298245614034</v>
      </c>
    </row>
    <row r="117" spans="1:3" x14ac:dyDescent="0.2">
      <c r="A117">
        <v>115</v>
      </c>
      <c r="B117">
        <f t="shared" si="2"/>
        <v>0</v>
      </c>
      <c r="C117">
        <f>SUM($B$2:B117)/A117</f>
        <v>62.173913043478258</v>
      </c>
    </row>
    <row r="118" spans="1:3" x14ac:dyDescent="0.2">
      <c r="A118">
        <v>116</v>
      </c>
      <c r="B118">
        <f t="shared" si="2"/>
        <v>0</v>
      </c>
      <c r="C118">
        <f>SUM($B$2:B118)/A118</f>
        <v>61.637931034482762</v>
      </c>
    </row>
    <row r="119" spans="1:3" x14ac:dyDescent="0.2">
      <c r="A119">
        <v>117</v>
      </c>
      <c r="B119">
        <f t="shared" si="2"/>
        <v>0</v>
      </c>
      <c r="C119">
        <f>SUM($B$2:B119)/A119</f>
        <v>61.111111111111114</v>
      </c>
    </row>
    <row r="120" spans="1:3" x14ac:dyDescent="0.2">
      <c r="A120">
        <v>118</v>
      </c>
      <c r="B120">
        <f t="shared" si="2"/>
        <v>0</v>
      </c>
      <c r="C120">
        <f>SUM($B$2:B120)/A120</f>
        <v>60.593220338983052</v>
      </c>
    </row>
    <row r="121" spans="1:3" x14ac:dyDescent="0.2">
      <c r="A121">
        <v>119</v>
      </c>
      <c r="B121">
        <f t="shared" si="2"/>
        <v>0</v>
      </c>
      <c r="C121">
        <f>SUM($B$2:B121)/A121</f>
        <v>60.084033613445378</v>
      </c>
    </row>
    <row r="122" spans="1:3" x14ac:dyDescent="0.2">
      <c r="A122">
        <v>120</v>
      </c>
      <c r="B122">
        <f t="shared" si="2"/>
        <v>0</v>
      </c>
      <c r="C122">
        <f>SUM($B$2:B122)/A122</f>
        <v>59.583333333333336</v>
      </c>
    </row>
    <row r="123" spans="1:3" x14ac:dyDescent="0.2">
      <c r="A123">
        <v>121</v>
      </c>
      <c r="B123">
        <f t="shared" si="2"/>
        <v>65</v>
      </c>
      <c r="C123">
        <f>SUM($B$2:B123)/A123</f>
        <v>59.628099173553721</v>
      </c>
    </row>
    <row r="124" spans="1:3" x14ac:dyDescent="0.2">
      <c r="A124">
        <v>122</v>
      </c>
      <c r="B124">
        <f t="shared" si="2"/>
        <v>65</v>
      </c>
      <c r="C124">
        <f>SUM($B$2:B124)/A124</f>
        <v>59.672131147540981</v>
      </c>
    </row>
    <row r="125" spans="1:3" x14ac:dyDescent="0.2">
      <c r="A125">
        <v>123</v>
      </c>
      <c r="B125">
        <f t="shared" si="2"/>
        <v>130</v>
      </c>
      <c r="C125">
        <f>SUM($B$2:B125)/A125</f>
        <v>60.243902439024389</v>
      </c>
    </row>
    <row r="126" spans="1:3" x14ac:dyDescent="0.2">
      <c r="A126">
        <v>124</v>
      </c>
      <c r="B126">
        <f t="shared" si="2"/>
        <v>130</v>
      </c>
      <c r="C126">
        <f>SUM($B$2:B126)/A126</f>
        <v>60.806451612903224</v>
      </c>
    </row>
    <row r="127" spans="1:3" x14ac:dyDescent="0.2">
      <c r="A127">
        <v>125</v>
      </c>
      <c r="B127">
        <f t="shared" si="2"/>
        <v>195</v>
      </c>
      <c r="C127">
        <f>SUM($B$2:B127)/A127</f>
        <v>61.88</v>
      </c>
    </row>
    <row r="128" spans="1:3" x14ac:dyDescent="0.2">
      <c r="A128">
        <v>126</v>
      </c>
      <c r="B128">
        <f t="shared" si="2"/>
        <v>195</v>
      </c>
      <c r="C128">
        <f>SUM($B$2:B128)/A128</f>
        <v>62.936507936507937</v>
      </c>
    </row>
    <row r="129" spans="1:3" x14ac:dyDescent="0.2">
      <c r="A129">
        <v>127</v>
      </c>
      <c r="B129">
        <f t="shared" si="2"/>
        <v>260</v>
      </c>
      <c r="C129">
        <f>SUM($B$2:B129)/A129</f>
        <v>64.488188976377955</v>
      </c>
    </row>
    <row r="130" spans="1:3" x14ac:dyDescent="0.2">
      <c r="A130">
        <v>128</v>
      </c>
      <c r="B130">
        <f t="shared" si="2"/>
        <v>260</v>
      </c>
      <c r="C130">
        <f>SUM($B$2:B130)/A130</f>
        <v>66.015625</v>
      </c>
    </row>
    <row r="131" spans="1:3" x14ac:dyDescent="0.2">
      <c r="A131">
        <v>129</v>
      </c>
      <c r="B131">
        <f t="shared" si="2"/>
        <v>325</v>
      </c>
      <c r="C131">
        <f>SUM($B$2:B131)/A131</f>
        <v>68.023255813953483</v>
      </c>
    </row>
    <row r="132" spans="1:3" x14ac:dyDescent="0.2">
      <c r="A132">
        <v>130</v>
      </c>
      <c r="B132">
        <f t="shared" si="2"/>
        <v>325</v>
      </c>
      <c r="C132">
        <f>SUM($B$2:B132)/A132</f>
        <v>70</v>
      </c>
    </row>
    <row r="133" spans="1:3" x14ac:dyDescent="0.2">
      <c r="A133">
        <v>131</v>
      </c>
      <c r="B133">
        <f t="shared" ref="B133:B196" si="3">IF((A132-IF(A132+1/120&gt;1,ROUNDDOWN(A132/120,0)*120,0))/20&lt;1,ROUNDDOWN((A132-120*ROUNDDOWN(A132/120,0))/2,0)*65+65,0)</f>
        <v>390</v>
      </c>
      <c r="C133">
        <f>SUM($B$2:B133)/A133</f>
        <v>72.44274809160305</v>
      </c>
    </row>
    <row r="134" spans="1:3" x14ac:dyDescent="0.2">
      <c r="A134">
        <v>132</v>
      </c>
      <c r="B134">
        <f t="shared" si="3"/>
        <v>390</v>
      </c>
      <c r="C134">
        <f>SUM($B$2:B134)/A134</f>
        <v>74.848484848484844</v>
      </c>
    </row>
    <row r="135" spans="1:3" x14ac:dyDescent="0.2">
      <c r="A135">
        <v>133</v>
      </c>
      <c r="B135">
        <f t="shared" si="3"/>
        <v>455</v>
      </c>
      <c r="C135">
        <f>SUM($B$2:B135)/A135</f>
        <v>77.706766917293237</v>
      </c>
    </row>
    <row r="136" spans="1:3" x14ac:dyDescent="0.2">
      <c r="A136">
        <v>134</v>
      </c>
      <c r="B136">
        <f t="shared" si="3"/>
        <v>455</v>
      </c>
      <c r="C136">
        <f>SUM($B$2:B136)/A136</f>
        <v>80.522388059701498</v>
      </c>
    </row>
    <row r="137" spans="1:3" x14ac:dyDescent="0.2">
      <c r="A137">
        <v>135</v>
      </c>
      <c r="B137">
        <f t="shared" si="3"/>
        <v>520</v>
      </c>
      <c r="C137">
        <f>SUM($B$2:B137)/A137</f>
        <v>83.777777777777771</v>
      </c>
    </row>
    <row r="138" spans="1:3" x14ac:dyDescent="0.2">
      <c r="A138">
        <v>136</v>
      </c>
      <c r="B138">
        <f t="shared" si="3"/>
        <v>520</v>
      </c>
      <c r="C138">
        <f>SUM($B$2:B138)/A138</f>
        <v>86.985294117647058</v>
      </c>
    </row>
    <row r="139" spans="1:3" x14ac:dyDescent="0.2">
      <c r="A139">
        <v>137</v>
      </c>
      <c r="B139">
        <f t="shared" si="3"/>
        <v>585</v>
      </c>
      <c r="C139">
        <f>SUM($B$2:B139)/A139</f>
        <v>90.620437956204384</v>
      </c>
    </row>
    <row r="140" spans="1:3" x14ac:dyDescent="0.2">
      <c r="A140">
        <v>138</v>
      </c>
      <c r="B140">
        <f t="shared" si="3"/>
        <v>585</v>
      </c>
      <c r="C140">
        <f>SUM($B$2:B140)/A140</f>
        <v>94.20289855072464</v>
      </c>
    </row>
    <row r="141" spans="1:3" x14ac:dyDescent="0.2">
      <c r="A141">
        <v>139</v>
      </c>
      <c r="B141">
        <f t="shared" si="3"/>
        <v>650</v>
      </c>
      <c r="C141">
        <f>SUM($B$2:B141)/A141</f>
        <v>98.201438848920859</v>
      </c>
    </row>
    <row r="142" spans="1:3" x14ac:dyDescent="0.2">
      <c r="A142">
        <v>140</v>
      </c>
      <c r="B142">
        <f t="shared" si="3"/>
        <v>650</v>
      </c>
      <c r="C142">
        <f>SUM($B$2:B142)/A142</f>
        <v>102.14285714285714</v>
      </c>
    </row>
    <row r="143" spans="1:3" x14ac:dyDescent="0.2">
      <c r="A143">
        <v>141</v>
      </c>
      <c r="B143">
        <f t="shared" si="3"/>
        <v>0</v>
      </c>
      <c r="C143">
        <f>SUM($B$2:B143)/A143</f>
        <v>101.41843971631205</v>
      </c>
    </row>
    <row r="144" spans="1:3" x14ac:dyDescent="0.2">
      <c r="A144">
        <v>142</v>
      </c>
      <c r="B144">
        <f t="shared" si="3"/>
        <v>0</v>
      </c>
      <c r="C144">
        <f>SUM($B$2:B144)/A144</f>
        <v>100.70422535211267</v>
      </c>
    </row>
    <row r="145" spans="1:3" x14ac:dyDescent="0.2">
      <c r="A145">
        <v>143</v>
      </c>
      <c r="B145">
        <f t="shared" si="3"/>
        <v>0</v>
      </c>
      <c r="C145">
        <f>SUM($B$2:B145)/A145</f>
        <v>100</v>
      </c>
    </row>
    <row r="146" spans="1:3" x14ac:dyDescent="0.2">
      <c r="A146">
        <v>144</v>
      </c>
      <c r="B146">
        <f t="shared" si="3"/>
        <v>0</v>
      </c>
      <c r="C146">
        <f>SUM($B$2:B146)/A146</f>
        <v>99.305555555555557</v>
      </c>
    </row>
    <row r="147" spans="1:3" x14ac:dyDescent="0.2">
      <c r="A147">
        <v>145</v>
      </c>
      <c r="B147">
        <f t="shared" si="3"/>
        <v>0</v>
      </c>
      <c r="C147">
        <f>SUM($B$2:B147)/A147</f>
        <v>98.620689655172413</v>
      </c>
    </row>
    <row r="148" spans="1:3" x14ac:dyDescent="0.2">
      <c r="A148">
        <v>146</v>
      </c>
      <c r="B148">
        <f t="shared" si="3"/>
        <v>0</v>
      </c>
      <c r="C148">
        <f>SUM($B$2:B148)/A148</f>
        <v>97.945205479452056</v>
      </c>
    </row>
    <row r="149" spans="1:3" x14ac:dyDescent="0.2">
      <c r="A149">
        <v>147</v>
      </c>
      <c r="B149">
        <f t="shared" si="3"/>
        <v>0</v>
      </c>
      <c r="C149">
        <f>SUM($B$2:B149)/A149</f>
        <v>97.278911564625844</v>
      </c>
    </row>
    <row r="150" spans="1:3" x14ac:dyDescent="0.2">
      <c r="A150">
        <v>148</v>
      </c>
      <c r="B150">
        <f t="shared" si="3"/>
        <v>0</v>
      </c>
      <c r="C150">
        <f>SUM($B$2:B150)/A150</f>
        <v>96.621621621621628</v>
      </c>
    </row>
    <row r="151" spans="1:3" x14ac:dyDescent="0.2">
      <c r="A151">
        <v>149</v>
      </c>
      <c r="B151">
        <f t="shared" si="3"/>
        <v>0</v>
      </c>
      <c r="C151">
        <f>SUM($B$2:B151)/A151</f>
        <v>95.973154362416111</v>
      </c>
    </row>
    <row r="152" spans="1:3" x14ac:dyDescent="0.2">
      <c r="A152">
        <v>150</v>
      </c>
      <c r="B152">
        <f t="shared" si="3"/>
        <v>0</v>
      </c>
      <c r="C152">
        <f>SUM($B$2:B152)/A152</f>
        <v>95.333333333333329</v>
      </c>
    </row>
    <row r="153" spans="1:3" x14ac:dyDescent="0.2">
      <c r="A153">
        <v>151</v>
      </c>
      <c r="B153">
        <f t="shared" si="3"/>
        <v>0</v>
      </c>
      <c r="C153">
        <f>SUM($B$2:B153)/A153</f>
        <v>94.701986754966882</v>
      </c>
    </row>
    <row r="154" spans="1:3" x14ac:dyDescent="0.2">
      <c r="A154">
        <v>152</v>
      </c>
      <c r="B154">
        <f t="shared" si="3"/>
        <v>0</v>
      </c>
      <c r="C154">
        <f>SUM($B$2:B154)/A154</f>
        <v>94.078947368421055</v>
      </c>
    </row>
    <row r="155" spans="1:3" x14ac:dyDescent="0.2">
      <c r="A155">
        <v>153</v>
      </c>
      <c r="B155">
        <f t="shared" si="3"/>
        <v>0</v>
      </c>
      <c r="C155">
        <f>SUM($B$2:B155)/A155</f>
        <v>93.464052287581694</v>
      </c>
    </row>
    <row r="156" spans="1:3" x14ac:dyDescent="0.2">
      <c r="A156">
        <v>154</v>
      </c>
      <c r="B156">
        <f t="shared" si="3"/>
        <v>0</v>
      </c>
      <c r="C156">
        <f>SUM($B$2:B156)/A156</f>
        <v>92.857142857142861</v>
      </c>
    </row>
    <row r="157" spans="1:3" x14ac:dyDescent="0.2">
      <c r="A157">
        <v>155</v>
      </c>
      <c r="B157">
        <f t="shared" si="3"/>
        <v>0</v>
      </c>
      <c r="C157">
        <f>SUM($B$2:B157)/A157</f>
        <v>92.258064516129039</v>
      </c>
    </row>
    <row r="158" spans="1:3" x14ac:dyDescent="0.2">
      <c r="A158">
        <v>156</v>
      </c>
      <c r="B158">
        <f t="shared" si="3"/>
        <v>0</v>
      </c>
      <c r="C158">
        <f>SUM($B$2:B158)/A158</f>
        <v>91.666666666666671</v>
      </c>
    </row>
    <row r="159" spans="1:3" x14ac:dyDescent="0.2">
      <c r="A159">
        <v>157</v>
      </c>
      <c r="B159">
        <f t="shared" si="3"/>
        <v>0</v>
      </c>
      <c r="C159">
        <f>SUM($B$2:B159)/A159</f>
        <v>91.082802547770697</v>
      </c>
    </row>
    <row r="160" spans="1:3" x14ac:dyDescent="0.2">
      <c r="A160">
        <v>158</v>
      </c>
      <c r="B160">
        <f t="shared" si="3"/>
        <v>0</v>
      </c>
      <c r="C160">
        <f>SUM($B$2:B160)/A160</f>
        <v>90.506329113924053</v>
      </c>
    </row>
    <row r="161" spans="1:3" x14ac:dyDescent="0.2">
      <c r="A161">
        <v>159</v>
      </c>
      <c r="B161">
        <f t="shared" si="3"/>
        <v>0</v>
      </c>
      <c r="C161">
        <f>SUM($B$2:B161)/A161</f>
        <v>89.937106918238996</v>
      </c>
    </row>
    <row r="162" spans="1:3" x14ac:dyDescent="0.2">
      <c r="A162">
        <v>160</v>
      </c>
      <c r="B162">
        <f t="shared" si="3"/>
        <v>0</v>
      </c>
      <c r="C162">
        <f>SUM($B$2:B162)/A162</f>
        <v>89.375</v>
      </c>
    </row>
    <row r="163" spans="1:3" x14ac:dyDescent="0.2">
      <c r="A163">
        <v>161</v>
      </c>
      <c r="B163">
        <f t="shared" si="3"/>
        <v>0</v>
      </c>
      <c r="C163">
        <f>SUM($B$2:B163)/A163</f>
        <v>88.81987577639751</v>
      </c>
    </row>
    <row r="164" spans="1:3" x14ac:dyDescent="0.2">
      <c r="A164">
        <v>162</v>
      </c>
      <c r="B164">
        <f t="shared" si="3"/>
        <v>0</v>
      </c>
      <c r="C164">
        <f>SUM($B$2:B164)/A164</f>
        <v>88.271604938271608</v>
      </c>
    </row>
    <row r="165" spans="1:3" x14ac:dyDescent="0.2">
      <c r="A165">
        <v>163</v>
      </c>
      <c r="B165">
        <f t="shared" si="3"/>
        <v>0</v>
      </c>
      <c r="C165">
        <f>SUM($B$2:B165)/A165</f>
        <v>87.730061349693258</v>
      </c>
    </row>
    <row r="166" spans="1:3" x14ac:dyDescent="0.2">
      <c r="A166">
        <v>164</v>
      </c>
      <c r="B166">
        <f t="shared" si="3"/>
        <v>0</v>
      </c>
      <c r="C166">
        <f>SUM($B$2:B166)/A166</f>
        <v>87.195121951219505</v>
      </c>
    </row>
    <row r="167" spans="1:3" x14ac:dyDescent="0.2">
      <c r="A167">
        <v>165</v>
      </c>
      <c r="B167">
        <f t="shared" si="3"/>
        <v>0</v>
      </c>
      <c r="C167">
        <f>SUM($B$2:B167)/A167</f>
        <v>86.666666666666671</v>
      </c>
    </row>
    <row r="168" spans="1:3" x14ac:dyDescent="0.2">
      <c r="A168">
        <v>166</v>
      </c>
      <c r="B168">
        <f t="shared" si="3"/>
        <v>0</v>
      </c>
      <c r="C168">
        <f>SUM($B$2:B168)/A168</f>
        <v>86.144578313253007</v>
      </c>
    </row>
    <row r="169" spans="1:3" x14ac:dyDescent="0.2">
      <c r="A169">
        <v>167</v>
      </c>
      <c r="B169">
        <f t="shared" si="3"/>
        <v>0</v>
      </c>
      <c r="C169">
        <f>SUM($B$2:B169)/A169</f>
        <v>85.628742514970057</v>
      </c>
    </row>
    <row r="170" spans="1:3" x14ac:dyDescent="0.2">
      <c r="A170">
        <v>168</v>
      </c>
      <c r="B170">
        <f t="shared" si="3"/>
        <v>0</v>
      </c>
      <c r="C170">
        <f>SUM($B$2:B170)/A170</f>
        <v>85.11904761904762</v>
      </c>
    </row>
    <row r="171" spans="1:3" x14ac:dyDescent="0.2">
      <c r="A171">
        <v>169</v>
      </c>
      <c r="B171">
        <f t="shared" si="3"/>
        <v>0</v>
      </c>
      <c r="C171">
        <f>SUM($B$2:B171)/A171</f>
        <v>84.615384615384613</v>
      </c>
    </row>
    <row r="172" spans="1:3" x14ac:dyDescent="0.2">
      <c r="A172">
        <v>170</v>
      </c>
      <c r="B172">
        <f t="shared" si="3"/>
        <v>0</v>
      </c>
      <c r="C172">
        <f>SUM($B$2:B172)/A172</f>
        <v>84.117647058823536</v>
      </c>
    </row>
    <row r="173" spans="1:3" x14ac:dyDescent="0.2">
      <c r="A173">
        <v>171</v>
      </c>
      <c r="B173">
        <f t="shared" si="3"/>
        <v>0</v>
      </c>
      <c r="C173">
        <f>SUM($B$2:B173)/A173</f>
        <v>83.62573099415205</v>
      </c>
    </row>
    <row r="174" spans="1:3" x14ac:dyDescent="0.2">
      <c r="A174">
        <v>172</v>
      </c>
      <c r="B174">
        <f t="shared" si="3"/>
        <v>0</v>
      </c>
      <c r="C174">
        <f>SUM($B$2:B174)/A174</f>
        <v>83.139534883720927</v>
      </c>
    </row>
    <row r="175" spans="1:3" x14ac:dyDescent="0.2">
      <c r="A175">
        <v>173</v>
      </c>
      <c r="B175">
        <f t="shared" si="3"/>
        <v>0</v>
      </c>
      <c r="C175">
        <f>SUM($B$2:B175)/A175</f>
        <v>82.658959537572258</v>
      </c>
    </row>
    <row r="176" spans="1:3" x14ac:dyDescent="0.2">
      <c r="A176">
        <v>174</v>
      </c>
      <c r="B176">
        <f t="shared" si="3"/>
        <v>0</v>
      </c>
      <c r="C176">
        <f>SUM($B$2:B176)/A176</f>
        <v>82.183908045977006</v>
      </c>
    </row>
    <row r="177" spans="1:3" x14ac:dyDescent="0.2">
      <c r="A177">
        <v>175</v>
      </c>
      <c r="B177">
        <f t="shared" si="3"/>
        <v>0</v>
      </c>
      <c r="C177">
        <f>SUM($B$2:B177)/A177</f>
        <v>81.714285714285708</v>
      </c>
    </row>
    <row r="178" spans="1:3" x14ac:dyDescent="0.2">
      <c r="A178">
        <v>176</v>
      </c>
      <c r="B178">
        <f t="shared" si="3"/>
        <v>0</v>
      </c>
      <c r="C178">
        <f>SUM($B$2:B178)/A178</f>
        <v>81.25</v>
      </c>
    </row>
    <row r="179" spans="1:3" x14ac:dyDescent="0.2">
      <c r="A179">
        <v>177</v>
      </c>
      <c r="B179">
        <f t="shared" si="3"/>
        <v>0</v>
      </c>
      <c r="C179">
        <f>SUM($B$2:B179)/A179</f>
        <v>80.790960451977398</v>
      </c>
    </row>
    <row r="180" spans="1:3" x14ac:dyDescent="0.2">
      <c r="A180">
        <v>178</v>
      </c>
      <c r="B180">
        <f t="shared" si="3"/>
        <v>0</v>
      </c>
      <c r="C180">
        <f>SUM($B$2:B180)/A180</f>
        <v>80.337078651685388</v>
      </c>
    </row>
    <row r="181" spans="1:3" x14ac:dyDescent="0.2">
      <c r="A181">
        <v>179</v>
      </c>
      <c r="B181">
        <f t="shared" si="3"/>
        <v>0</v>
      </c>
      <c r="C181">
        <f>SUM($B$2:B181)/A181</f>
        <v>79.888268156424587</v>
      </c>
    </row>
    <row r="182" spans="1:3" x14ac:dyDescent="0.2">
      <c r="A182">
        <v>180</v>
      </c>
      <c r="B182">
        <f t="shared" si="3"/>
        <v>0</v>
      </c>
      <c r="C182">
        <f>SUM($B$2:B182)/A182</f>
        <v>79.444444444444443</v>
      </c>
    </row>
    <row r="183" spans="1:3" x14ac:dyDescent="0.2">
      <c r="A183">
        <v>181</v>
      </c>
      <c r="B183">
        <f t="shared" si="3"/>
        <v>0</v>
      </c>
      <c r="C183">
        <f>SUM($B$2:B183)/A183</f>
        <v>79.005524861878456</v>
      </c>
    </row>
    <row r="184" spans="1:3" x14ac:dyDescent="0.2">
      <c r="A184">
        <v>182</v>
      </c>
      <c r="B184">
        <f t="shared" si="3"/>
        <v>0</v>
      </c>
      <c r="C184">
        <f>SUM($B$2:B184)/A184</f>
        <v>78.571428571428569</v>
      </c>
    </row>
    <row r="185" spans="1:3" x14ac:dyDescent="0.2">
      <c r="A185">
        <v>183</v>
      </c>
      <c r="B185">
        <f t="shared" si="3"/>
        <v>0</v>
      </c>
      <c r="C185">
        <f>SUM($B$2:B185)/A185</f>
        <v>78.142076502732237</v>
      </c>
    </row>
    <row r="186" spans="1:3" x14ac:dyDescent="0.2">
      <c r="A186">
        <v>184</v>
      </c>
      <c r="B186">
        <f t="shared" si="3"/>
        <v>0</v>
      </c>
      <c r="C186">
        <f>SUM($B$2:B186)/A186</f>
        <v>77.717391304347828</v>
      </c>
    </row>
    <row r="187" spans="1:3" x14ac:dyDescent="0.2">
      <c r="A187">
        <v>185</v>
      </c>
      <c r="B187">
        <f t="shared" si="3"/>
        <v>0</v>
      </c>
      <c r="C187">
        <f>SUM($B$2:B187)/A187</f>
        <v>77.297297297297291</v>
      </c>
    </row>
    <row r="188" spans="1:3" x14ac:dyDescent="0.2">
      <c r="A188">
        <v>186</v>
      </c>
      <c r="B188">
        <f t="shared" si="3"/>
        <v>0</v>
      </c>
      <c r="C188">
        <f>SUM($B$2:B188)/A188</f>
        <v>76.881720430107521</v>
      </c>
    </row>
    <row r="189" spans="1:3" x14ac:dyDescent="0.2">
      <c r="A189">
        <v>187</v>
      </c>
      <c r="B189">
        <f t="shared" si="3"/>
        <v>0</v>
      </c>
      <c r="C189">
        <f>SUM($B$2:B189)/A189</f>
        <v>76.470588235294116</v>
      </c>
    </row>
    <row r="190" spans="1:3" x14ac:dyDescent="0.2">
      <c r="A190">
        <v>188</v>
      </c>
      <c r="B190">
        <f t="shared" si="3"/>
        <v>0</v>
      </c>
      <c r="C190">
        <f>SUM($B$2:B190)/A190</f>
        <v>76.063829787234042</v>
      </c>
    </row>
    <row r="191" spans="1:3" x14ac:dyDescent="0.2">
      <c r="A191">
        <v>189</v>
      </c>
      <c r="B191">
        <f t="shared" si="3"/>
        <v>0</v>
      </c>
      <c r="C191">
        <f>SUM($B$2:B191)/A191</f>
        <v>75.661375661375658</v>
      </c>
    </row>
    <row r="192" spans="1:3" x14ac:dyDescent="0.2">
      <c r="A192">
        <v>190</v>
      </c>
      <c r="B192">
        <f t="shared" si="3"/>
        <v>0</v>
      </c>
      <c r="C192">
        <f>SUM($B$2:B192)/A192</f>
        <v>75.263157894736835</v>
      </c>
    </row>
    <row r="193" spans="1:3" x14ac:dyDescent="0.2">
      <c r="A193">
        <v>191</v>
      </c>
      <c r="B193">
        <f t="shared" si="3"/>
        <v>0</v>
      </c>
      <c r="C193">
        <f>SUM($B$2:B193)/A193</f>
        <v>74.869109947643977</v>
      </c>
    </row>
    <row r="194" spans="1:3" x14ac:dyDescent="0.2">
      <c r="A194">
        <v>192</v>
      </c>
      <c r="B194">
        <f t="shared" si="3"/>
        <v>0</v>
      </c>
      <c r="C194">
        <f>SUM($B$2:B194)/A194</f>
        <v>74.479166666666671</v>
      </c>
    </row>
    <row r="195" spans="1:3" x14ac:dyDescent="0.2">
      <c r="A195">
        <v>193</v>
      </c>
      <c r="B195">
        <f t="shared" si="3"/>
        <v>0</v>
      </c>
      <c r="C195">
        <f>SUM($B$2:B195)/A195</f>
        <v>74.093264248704656</v>
      </c>
    </row>
    <row r="196" spans="1:3" x14ac:dyDescent="0.2">
      <c r="A196">
        <v>194</v>
      </c>
      <c r="B196">
        <f t="shared" si="3"/>
        <v>0</v>
      </c>
      <c r="C196">
        <f>SUM($B$2:B196)/A196</f>
        <v>73.711340206185568</v>
      </c>
    </row>
    <row r="197" spans="1:3" x14ac:dyDescent="0.2">
      <c r="A197">
        <v>195</v>
      </c>
      <c r="B197">
        <f t="shared" ref="B197:B260" si="4">IF((A196-IF(A196+1/120&gt;1,ROUNDDOWN(A196/120,0)*120,0))/20&lt;1,ROUNDDOWN((A196-120*ROUNDDOWN(A196/120,0))/2,0)*65+65,0)</f>
        <v>0</v>
      </c>
      <c r="C197">
        <f>SUM($B$2:B197)/A197</f>
        <v>73.333333333333329</v>
      </c>
    </row>
    <row r="198" spans="1:3" x14ac:dyDescent="0.2">
      <c r="A198">
        <v>196</v>
      </c>
      <c r="B198">
        <f t="shared" si="4"/>
        <v>0</v>
      </c>
      <c r="C198">
        <f>SUM($B$2:B198)/A198</f>
        <v>72.959183673469383</v>
      </c>
    </row>
    <row r="199" spans="1:3" x14ac:dyDescent="0.2">
      <c r="A199">
        <v>197</v>
      </c>
      <c r="B199">
        <f t="shared" si="4"/>
        <v>0</v>
      </c>
      <c r="C199">
        <f>SUM($B$2:B199)/A199</f>
        <v>72.588832487309645</v>
      </c>
    </row>
    <row r="200" spans="1:3" x14ac:dyDescent="0.2">
      <c r="A200">
        <v>198</v>
      </c>
      <c r="B200">
        <f t="shared" si="4"/>
        <v>0</v>
      </c>
      <c r="C200">
        <f>SUM($B$2:B200)/A200</f>
        <v>72.222222222222229</v>
      </c>
    </row>
    <row r="201" spans="1:3" x14ac:dyDescent="0.2">
      <c r="A201">
        <v>199</v>
      </c>
      <c r="B201">
        <f t="shared" si="4"/>
        <v>0</v>
      </c>
      <c r="C201">
        <f>SUM($B$2:B201)/A201</f>
        <v>71.859296482412063</v>
      </c>
    </row>
    <row r="202" spans="1:3" x14ac:dyDescent="0.2">
      <c r="A202">
        <v>200</v>
      </c>
      <c r="B202">
        <f t="shared" si="4"/>
        <v>0</v>
      </c>
      <c r="C202">
        <f>SUM($B$2:B202)/A202</f>
        <v>71.5</v>
      </c>
    </row>
    <row r="203" spans="1:3" x14ac:dyDescent="0.2">
      <c r="A203">
        <v>201</v>
      </c>
      <c r="B203">
        <f t="shared" si="4"/>
        <v>0</v>
      </c>
      <c r="C203">
        <f>SUM($B$2:B203)/A203</f>
        <v>71.144278606965173</v>
      </c>
    </row>
    <row r="204" spans="1:3" x14ac:dyDescent="0.2">
      <c r="A204">
        <v>202</v>
      </c>
      <c r="B204">
        <f t="shared" si="4"/>
        <v>0</v>
      </c>
      <c r="C204">
        <f>SUM($B$2:B204)/A204</f>
        <v>70.792079207920793</v>
      </c>
    </row>
    <row r="205" spans="1:3" x14ac:dyDescent="0.2">
      <c r="A205">
        <v>203</v>
      </c>
      <c r="B205">
        <f t="shared" si="4"/>
        <v>0</v>
      </c>
      <c r="C205">
        <f>SUM($B$2:B205)/A205</f>
        <v>70.443349753694577</v>
      </c>
    </row>
    <row r="206" spans="1:3" x14ac:dyDescent="0.2">
      <c r="A206">
        <v>204</v>
      </c>
      <c r="B206">
        <f t="shared" si="4"/>
        <v>0</v>
      </c>
      <c r="C206">
        <f>SUM($B$2:B206)/A206</f>
        <v>70.098039215686271</v>
      </c>
    </row>
    <row r="207" spans="1:3" x14ac:dyDescent="0.2">
      <c r="A207">
        <v>205</v>
      </c>
      <c r="B207">
        <f t="shared" si="4"/>
        <v>0</v>
      </c>
      <c r="C207">
        <f>SUM($B$2:B207)/A207</f>
        <v>69.756097560975604</v>
      </c>
    </row>
    <row r="208" spans="1:3" x14ac:dyDescent="0.2">
      <c r="A208">
        <v>206</v>
      </c>
      <c r="B208">
        <f t="shared" si="4"/>
        <v>0</v>
      </c>
      <c r="C208">
        <f>SUM($B$2:B208)/A208</f>
        <v>69.417475728155338</v>
      </c>
    </row>
    <row r="209" spans="1:3" x14ac:dyDescent="0.2">
      <c r="A209">
        <v>207</v>
      </c>
      <c r="B209">
        <f t="shared" si="4"/>
        <v>0</v>
      </c>
      <c r="C209">
        <f>SUM($B$2:B209)/A209</f>
        <v>69.082125603864739</v>
      </c>
    </row>
    <row r="210" spans="1:3" x14ac:dyDescent="0.2">
      <c r="A210">
        <v>208</v>
      </c>
      <c r="B210">
        <f t="shared" si="4"/>
        <v>0</v>
      </c>
      <c r="C210">
        <f>SUM($B$2:B210)/A210</f>
        <v>68.75</v>
      </c>
    </row>
    <row r="211" spans="1:3" x14ac:dyDescent="0.2">
      <c r="A211">
        <v>209</v>
      </c>
      <c r="B211">
        <f t="shared" si="4"/>
        <v>0</v>
      </c>
      <c r="C211">
        <f>SUM($B$2:B211)/A211</f>
        <v>68.421052631578945</v>
      </c>
    </row>
    <row r="212" spans="1:3" x14ac:dyDescent="0.2">
      <c r="A212">
        <v>210</v>
      </c>
      <c r="B212">
        <f t="shared" si="4"/>
        <v>0</v>
      </c>
      <c r="C212">
        <f>SUM($B$2:B212)/A212</f>
        <v>68.095238095238102</v>
      </c>
    </row>
    <row r="213" spans="1:3" x14ac:dyDescent="0.2">
      <c r="A213">
        <v>211</v>
      </c>
      <c r="B213">
        <f t="shared" si="4"/>
        <v>0</v>
      </c>
      <c r="C213">
        <f>SUM($B$2:B213)/A213</f>
        <v>67.772511848341239</v>
      </c>
    </row>
    <row r="214" spans="1:3" x14ac:dyDescent="0.2">
      <c r="A214">
        <v>212</v>
      </c>
      <c r="B214">
        <f t="shared" si="4"/>
        <v>0</v>
      </c>
      <c r="C214">
        <f>SUM($B$2:B214)/A214</f>
        <v>67.452830188679243</v>
      </c>
    </row>
    <row r="215" spans="1:3" x14ac:dyDescent="0.2">
      <c r="A215">
        <v>213</v>
      </c>
      <c r="B215">
        <f t="shared" si="4"/>
        <v>0</v>
      </c>
      <c r="C215">
        <f>SUM($B$2:B215)/A215</f>
        <v>67.136150234741791</v>
      </c>
    </row>
    <row r="216" spans="1:3" x14ac:dyDescent="0.2">
      <c r="A216">
        <v>214</v>
      </c>
      <c r="B216">
        <f t="shared" si="4"/>
        <v>0</v>
      </c>
      <c r="C216">
        <f>SUM($B$2:B216)/A216</f>
        <v>66.822429906542055</v>
      </c>
    </row>
    <row r="217" spans="1:3" x14ac:dyDescent="0.2">
      <c r="A217">
        <v>215</v>
      </c>
      <c r="B217">
        <f t="shared" si="4"/>
        <v>0</v>
      </c>
      <c r="C217">
        <f>SUM($B$2:B217)/A217</f>
        <v>66.511627906976742</v>
      </c>
    </row>
    <row r="218" spans="1:3" x14ac:dyDescent="0.2">
      <c r="A218">
        <v>216</v>
      </c>
      <c r="B218">
        <f t="shared" si="4"/>
        <v>0</v>
      </c>
      <c r="C218">
        <f>SUM($B$2:B218)/A218</f>
        <v>66.203703703703709</v>
      </c>
    </row>
    <row r="219" spans="1:3" x14ac:dyDescent="0.2">
      <c r="A219">
        <v>217</v>
      </c>
      <c r="B219">
        <f t="shared" si="4"/>
        <v>0</v>
      </c>
      <c r="C219">
        <f>SUM($B$2:B219)/A219</f>
        <v>65.89861751152074</v>
      </c>
    </row>
    <row r="220" spans="1:3" x14ac:dyDescent="0.2">
      <c r="A220">
        <v>218</v>
      </c>
      <c r="B220">
        <f t="shared" si="4"/>
        <v>0</v>
      </c>
      <c r="C220">
        <f>SUM($B$2:B220)/A220</f>
        <v>65.596330275229363</v>
      </c>
    </row>
    <row r="221" spans="1:3" x14ac:dyDescent="0.2">
      <c r="A221">
        <v>219</v>
      </c>
      <c r="B221">
        <f t="shared" si="4"/>
        <v>0</v>
      </c>
      <c r="C221">
        <f>SUM($B$2:B221)/A221</f>
        <v>65.296803652968038</v>
      </c>
    </row>
    <row r="222" spans="1:3" x14ac:dyDescent="0.2">
      <c r="A222">
        <v>220</v>
      </c>
      <c r="B222">
        <f t="shared" si="4"/>
        <v>0</v>
      </c>
      <c r="C222">
        <f>SUM($B$2:B222)/A222</f>
        <v>65</v>
      </c>
    </row>
    <row r="223" spans="1:3" x14ac:dyDescent="0.2">
      <c r="A223">
        <v>221</v>
      </c>
      <c r="B223">
        <f t="shared" si="4"/>
        <v>0</v>
      </c>
      <c r="C223">
        <f>SUM($B$2:B223)/A223</f>
        <v>64.705882352941174</v>
      </c>
    </row>
    <row r="224" spans="1:3" x14ac:dyDescent="0.2">
      <c r="A224">
        <v>222</v>
      </c>
      <c r="B224">
        <f t="shared" si="4"/>
        <v>0</v>
      </c>
      <c r="C224">
        <f>SUM($B$2:B224)/A224</f>
        <v>64.414414414414409</v>
      </c>
    </row>
    <row r="225" spans="1:3" x14ac:dyDescent="0.2">
      <c r="A225">
        <v>223</v>
      </c>
      <c r="B225">
        <f t="shared" si="4"/>
        <v>0</v>
      </c>
      <c r="C225">
        <f>SUM($B$2:B225)/A225</f>
        <v>64.125560538116588</v>
      </c>
    </row>
    <row r="226" spans="1:3" x14ac:dyDescent="0.2">
      <c r="A226">
        <v>224</v>
      </c>
      <c r="B226">
        <f t="shared" si="4"/>
        <v>0</v>
      </c>
      <c r="C226">
        <f>SUM($B$2:B226)/A226</f>
        <v>63.839285714285715</v>
      </c>
    </row>
    <row r="227" spans="1:3" x14ac:dyDescent="0.2">
      <c r="A227">
        <v>225</v>
      </c>
      <c r="B227">
        <f t="shared" si="4"/>
        <v>0</v>
      </c>
      <c r="C227">
        <f>SUM($B$2:B227)/A227</f>
        <v>63.555555555555557</v>
      </c>
    </row>
    <row r="228" spans="1:3" x14ac:dyDescent="0.2">
      <c r="A228">
        <v>226</v>
      </c>
      <c r="B228">
        <f t="shared" si="4"/>
        <v>0</v>
      </c>
      <c r="C228">
        <f>SUM($B$2:B228)/A228</f>
        <v>63.274336283185839</v>
      </c>
    </row>
    <row r="229" spans="1:3" x14ac:dyDescent="0.2">
      <c r="A229">
        <v>227</v>
      </c>
      <c r="B229">
        <f t="shared" si="4"/>
        <v>0</v>
      </c>
      <c r="C229">
        <f>SUM($B$2:B229)/A229</f>
        <v>62.995594713656388</v>
      </c>
    </row>
    <row r="230" spans="1:3" x14ac:dyDescent="0.2">
      <c r="A230">
        <v>228</v>
      </c>
      <c r="B230">
        <f t="shared" si="4"/>
        <v>0</v>
      </c>
      <c r="C230">
        <f>SUM($B$2:B230)/A230</f>
        <v>62.719298245614034</v>
      </c>
    </row>
    <row r="231" spans="1:3" x14ac:dyDescent="0.2">
      <c r="A231">
        <v>229</v>
      </c>
      <c r="B231">
        <f t="shared" si="4"/>
        <v>0</v>
      </c>
      <c r="C231">
        <f>SUM($B$2:B231)/A231</f>
        <v>62.445414847161572</v>
      </c>
    </row>
    <row r="232" spans="1:3" x14ac:dyDescent="0.2">
      <c r="A232">
        <v>230</v>
      </c>
      <c r="B232">
        <f t="shared" si="4"/>
        <v>0</v>
      </c>
      <c r="C232">
        <f>SUM($B$2:B232)/A232</f>
        <v>62.173913043478258</v>
      </c>
    </row>
    <row r="233" spans="1:3" x14ac:dyDescent="0.2">
      <c r="A233">
        <v>231</v>
      </c>
      <c r="B233">
        <f t="shared" si="4"/>
        <v>0</v>
      </c>
      <c r="C233">
        <f>SUM($B$2:B233)/A233</f>
        <v>61.904761904761905</v>
      </c>
    </row>
    <row r="234" spans="1:3" x14ac:dyDescent="0.2">
      <c r="A234">
        <v>232</v>
      </c>
      <c r="B234">
        <f t="shared" si="4"/>
        <v>0</v>
      </c>
      <c r="C234">
        <f>SUM($B$2:B234)/A234</f>
        <v>61.637931034482762</v>
      </c>
    </row>
    <row r="235" spans="1:3" x14ac:dyDescent="0.2">
      <c r="A235">
        <v>233</v>
      </c>
      <c r="B235">
        <f t="shared" si="4"/>
        <v>0</v>
      </c>
      <c r="C235">
        <f>SUM($B$2:B235)/A235</f>
        <v>61.373390557939913</v>
      </c>
    </row>
    <row r="236" spans="1:3" x14ac:dyDescent="0.2">
      <c r="A236">
        <v>234</v>
      </c>
      <c r="B236">
        <f t="shared" si="4"/>
        <v>0</v>
      </c>
      <c r="C236">
        <f>SUM($B$2:B236)/A236</f>
        <v>61.111111111111114</v>
      </c>
    </row>
    <row r="237" spans="1:3" x14ac:dyDescent="0.2">
      <c r="A237">
        <v>235</v>
      </c>
      <c r="B237">
        <f t="shared" si="4"/>
        <v>0</v>
      </c>
      <c r="C237">
        <f>SUM($B$2:B237)/A237</f>
        <v>60.851063829787236</v>
      </c>
    </row>
    <row r="238" spans="1:3" x14ac:dyDescent="0.2">
      <c r="A238">
        <v>236</v>
      </c>
      <c r="B238">
        <f t="shared" si="4"/>
        <v>0</v>
      </c>
      <c r="C238">
        <f>SUM($B$2:B238)/A238</f>
        <v>60.593220338983052</v>
      </c>
    </row>
    <row r="239" spans="1:3" x14ac:dyDescent="0.2">
      <c r="A239">
        <v>237</v>
      </c>
      <c r="B239">
        <f t="shared" si="4"/>
        <v>0</v>
      </c>
      <c r="C239">
        <f>SUM($B$2:B239)/A239</f>
        <v>60.337552742616033</v>
      </c>
    </row>
    <row r="240" spans="1:3" x14ac:dyDescent="0.2">
      <c r="A240">
        <v>238</v>
      </c>
      <c r="B240">
        <f t="shared" si="4"/>
        <v>0</v>
      </c>
      <c r="C240">
        <f>SUM($B$2:B240)/A240</f>
        <v>60.084033613445378</v>
      </c>
    </row>
    <row r="241" spans="1:3" x14ac:dyDescent="0.2">
      <c r="A241">
        <v>239</v>
      </c>
      <c r="B241">
        <f t="shared" si="4"/>
        <v>0</v>
      </c>
      <c r="C241">
        <f>SUM($B$2:B241)/A241</f>
        <v>59.8326359832636</v>
      </c>
    </row>
    <row r="242" spans="1:3" x14ac:dyDescent="0.2">
      <c r="A242">
        <v>240</v>
      </c>
      <c r="B242">
        <f t="shared" si="4"/>
        <v>0</v>
      </c>
      <c r="C242">
        <f>SUM($B$2:B242)/A242</f>
        <v>59.583333333333336</v>
      </c>
    </row>
    <row r="243" spans="1:3" x14ac:dyDescent="0.2">
      <c r="A243">
        <v>241</v>
      </c>
      <c r="B243">
        <f t="shared" si="4"/>
        <v>65</v>
      </c>
      <c r="C243">
        <f>SUM($B$2:B243)/A243</f>
        <v>59.605809128630703</v>
      </c>
    </row>
    <row r="244" spans="1:3" x14ac:dyDescent="0.2">
      <c r="A244">
        <v>242</v>
      </c>
      <c r="B244">
        <f t="shared" si="4"/>
        <v>65</v>
      </c>
      <c r="C244">
        <f>SUM($B$2:B244)/A244</f>
        <v>59.628099173553721</v>
      </c>
    </row>
    <row r="245" spans="1:3" x14ac:dyDescent="0.2">
      <c r="A245">
        <v>243</v>
      </c>
      <c r="B245">
        <f t="shared" si="4"/>
        <v>130</v>
      </c>
      <c r="C245">
        <f>SUM($B$2:B245)/A245</f>
        <v>59.91769547325103</v>
      </c>
    </row>
    <row r="246" spans="1:3" x14ac:dyDescent="0.2">
      <c r="A246">
        <v>244</v>
      </c>
      <c r="B246">
        <f t="shared" si="4"/>
        <v>130</v>
      </c>
      <c r="C246">
        <f>SUM($B$2:B246)/A246</f>
        <v>60.204918032786885</v>
      </c>
    </row>
    <row r="247" spans="1:3" x14ac:dyDescent="0.2">
      <c r="A247">
        <v>245</v>
      </c>
      <c r="B247">
        <f t="shared" si="4"/>
        <v>195</v>
      </c>
      <c r="C247">
        <f>SUM($B$2:B247)/A247</f>
        <v>60.755102040816325</v>
      </c>
    </row>
    <row r="248" spans="1:3" x14ac:dyDescent="0.2">
      <c r="A248">
        <v>246</v>
      </c>
      <c r="B248">
        <f t="shared" si="4"/>
        <v>195</v>
      </c>
      <c r="C248">
        <f>SUM($B$2:B248)/A248</f>
        <v>61.300813008130085</v>
      </c>
    </row>
    <row r="249" spans="1:3" x14ac:dyDescent="0.2">
      <c r="A249">
        <v>247</v>
      </c>
      <c r="B249">
        <f t="shared" si="4"/>
        <v>260</v>
      </c>
      <c r="C249">
        <f>SUM($B$2:B249)/A249</f>
        <v>62.10526315789474</v>
      </c>
    </row>
    <row r="250" spans="1:3" x14ac:dyDescent="0.2">
      <c r="A250">
        <v>248</v>
      </c>
      <c r="B250">
        <f t="shared" si="4"/>
        <v>260</v>
      </c>
      <c r="C250">
        <f>SUM($B$2:B250)/A250</f>
        <v>62.903225806451616</v>
      </c>
    </row>
    <row r="251" spans="1:3" x14ac:dyDescent="0.2">
      <c r="A251">
        <v>249</v>
      </c>
      <c r="B251">
        <f t="shared" si="4"/>
        <v>325</v>
      </c>
      <c r="C251">
        <f>SUM($B$2:B251)/A251</f>
        <v>63.955823293172692</v>
      </c>
    </row>
    <row r="252" spans="1:3" x14ac:dyDescent="0.2">
      <c r="A252">
        <v>250</v>
      </c>
      <c r="B252">
        <f t="shared" si="4"/>
        <v>325</v>
      </c>
      <c r="C252">
        <f>SUM($B$2:B252)/A252</f>
        <v>65</v>
      </c>
    </row>
    <row r="253" spans="1:3" x14ac:dyDescent="0.2">
      <c r="A253">
        <v>251</v>
      </c>
      <c r="B253">
        <f t="shared" si="4"/>
        <v>390</v>
      </c>
      <c r="C253">
        <f>SUM($B$2:B253)/A253</f>
        <v>66.294820717131472</v>
      </c>
    </row>
    <row r="254" spans="1:3" x14ac:dyDescent="0.2">
      <c r="A254">
        <v>252</v>
      </c>
      <c r="B254">
        <f t="shared" si="4"/>
        <v>390</v>
      </c>
      <c r="C254">
        <f>SUM($B$2:B254)/A254</f>
        <v>67.579365079365076</v>
      </c>
    </row>
    <row r="255" spans="1:3" x14ac:dyDescent="0.2">
      <c r="A255">
        <v>253</v>
      </c>
      <c r="B255">
        <f t="shared" si="4"/>
        <v>455</v>
      </c>
      <c r="C255">
        <f>SUM($B$2:B255)/A255</f>
        <v>69.110671936758891</v>
      </c>
    </row>
    <row r="256" spans="1:3" x14ac:dyDescent="0.2">
      <c r="A256">
        <v>254</v>
      </c>
      <c r="B256">
        <f t="shared" si="4"/>
        <v>455</v>
      </c>
      <c r="C256">
        <f>SUM($B$2:B256)/A256</f>
        <v>70.629921259842519</v>
      </c>
    </row>
    <row r="257" spans="1:3" x14ac:dyDescent="0.2">
      <c r="A257">
        <v>255</v>
      </c>
      <c r="B257">
        <f t="shared" si="4"/>
        <v>520</v>
      </c>
      <c r="C257">
        <f>SUM($B$2:B257)/A257</f>
        <v>72.392156862745097</v>
      </c>
    </row>
    <row r="258" spans="1:3" x14ac:dyDescent="0.2">
      <c r="A258">
        <v>256</v>
      </c>
      <c r="B258">
        <f t="shared" si="4"/>
        <v>520</v>
      </c>
      <c r="C258">
        <f>SUM($B$2:B258)/A258</f>
        <v>74.140625</v>
      </c>
    </row>
    <row r="259" spans="1:3" x14ac:dyDescent="0.2">
      <c r="A259">
        <v>257</v>
      </c>
      <c r="B259">
        <f t="shared" si="4"/>
        <v>585</v>
      </c>
      <c r="C259">
        <f>SUM($B$2:B259)/A259</f>
        <v>76.128404669260703</v>
      </c>
    </row>
    <row r="260" spans="1:3" x14ac:dyDescent="0.2">
      <c r="A260">
        <v>258</v>
      </c>
      <c r="B260">
        <f t="shared" si="4"/>
        <v>585</v>
      </c>
      <c r="C260">
        <f>SUM($B$2:B260)/A260</f>
        <v>78.100775193798455</v>
      </c>
    </row>
    <row r="261" spans="1:3" x14ac:dyDescent="0.2">
      <c r="A261">
        <v>259</v>
      </c>
      <c r="B261">
        <f t="shared" ref="B261:B324" si="5">IF((A260-IF(A260+1/120&gt;1,ROUNDDOWN(A260/120,0)*120,0))/20&lt;1,ROUNDDOWN((A260-120*ROUNDDOWN(A260/120,0))/2,0)*65+65,0)</f>
        <v>650</v>
      </c>
      <c r="C261">
        <f>SUM($B$2:B261)/A261</f>
        <v>80.308880308880305</v>
      </c>
    </row>
    <row r="262" spans="1:3" x14ac:dyDescent="0.2">
      <c r="A262">
        <v>260</v>
      </c>
      <c r="B262">
        <f t="shared" si="5"/>
        <v>650</v>
      </c>
      <c r="C262">
        <f>SUM($B$2:B262)/A262</f>
        <v>82.5</v>
      </c>
    </row>
    <row r="263" spans="1:3" x14ac:dyDescent="0.2">
      <c r="A263">
        <v>261</v>
      </c>
      <c r="B263">
        <f t="shared" si="5"/>
        <v>0</v>
      </c>
      <c r="C263">
        <f>SUM($B$2:B263)/A263</f>
        <v>82.183908045977006</v>
      </c>
    </row>
    <row r="264" spans="1:3" x14ac:dyDescent="0.2">
      <c r="A264">
        <v>262</v>
      </c>
      <c r="B264">
        <f t="shared" si="5"/>
        <v>0</v>
      </c>
      <c r="C264">
        <f>SUM($B$2:B264)/A264</f>
        <v>81.870229007633583</v>
      </c>
    </row>
    <row r="265" spans="1:3" x14ac:dyDescent="0.2">
      <c r="A265">
        <v>263</v>
      </c>
      <c r="B265">
        <f t="shared" si="5"/>
        <v>0</v>
      </c>
      <c r="C265">
        <f>SUM($B$2:B265)/A265</f>
        <v>81.558935361216726</v>
      </c>
    </row>
    <row r="266" spans="1:3" x14ac:dyDescent="0.2">
      <c r="A266">
        <v>264</v>
      </c>
      <c r="B266">
        <f t="shared" si="5"/>
        <v>0</v>
      </c>
      <c r="C266">
        <f>SUM($B$2:B266)/A266</f>
        <v>81.25</v>
      </c>
    </row>
    <row r="267" spans="1:3" x14ac:dyDescent="0.2">
      <c r="A267">
        <v>265</v>
      </c>
      <c r="B267">
        <f t="shared" si="5"/>
        <v>0</v>
      </c>
      <c r="C267">
        <f>SUM($B$2:B267)/A267</f>
        <v>80.943396226415089</v>
      </c>
    </row>
    <row r="268" spans="1:3" x14ac:dyDescent="0.2">
      <c r="A268">
        <v>266</v>
      </c>
      <c r="B268">
        <f t="shared" si="5"/>
        <v>0</v>
      </c>
      <c r="C268">
        <f>SUM($B$2:B268)/A268</f>
        <v>80.639097744360896</v>
      </c>
    </row>
    <row r="269" spans="1:3" x14ac:dyDescent="0.2">
      <c r="A269">
        <v>267</v>
      </c>
      <c r="B269">
        <f t="shared" si="5"/>
        <v>0</v>
      </c>
      <c r="C269">
        <f>SUM($B$2:B269)/A269</f>
        <v>80.337078651685388</v>
      </c>
    </row>
    <row r="270" spans="1:3" x14ac:dyDescent="0.2">
      <c r="A270">
        <v>268</v>
      </c>
      <c r="B270">
        <f t="shared" si="5"/>
        <v>0</v>
      </c>
      <c r="C270">
        <f>SUM($B$2:B270)/A270</f>
        <v>80.037313432835816</v>
      </c>
    </row>
    <row r="271" spans="1:3" x14ac:dyDescent="0.2">
      <c r="A271">
        <v>269</v>
      </c>
      <c r="B271">
        <f t="shared" si="5"/>
        <v>0</v>
      </c>
      <c r="C271">
        <f>SUM($B$2:B271)/A271</f>
        <v>79.739776951672866</v>
      </c>
    </row>
    <row r="272" spans="1:3" x14ac:dyDescent="0.2">
      <c r="A272">
        <v>270</v>
      </c>
      <c r="B272">
        <f t="shared" si="5"/>
        <v>0</v>
      </c>
      <c r="C272">
        <f>SUM($B$2:B272)/A272</f>
        <v>79.444444444444443</v>
      </c>
    </row>
    <row r="273" spans="1:3" x14ac:dyDescent="0.2">
      <c r="A273">
        <v>271</v>
      </c>
      <c r="B273">
        <f t="shared" si="5"/>
        <v>0</v>
      </c>
      <c r="C273">
        <f>SUM($B$2:B273)/A273</f>
        <v>79.151291512915122</v>
      </c>
    </row>
    <row r="274" spans="1:3" x14ac:dyDescent="0.2">
      <c r="A274">
        <v>272</v>
      </c>
      <c r="B274">
        <f t="shared" si="5"/>
        <v>0</v>
      </c>
      <c r="C274">
        <f>SUM($B$2:B274)/A274</f>
        <v>78.860294117647058</v>
      </c>
    </row>
    <row r="275" spans="1:3" x14ac:dyDescent="0.2">
      <c r="A275">
        <v>273</v>
      </c>
      <c r="B275">
        <f t="shared" si="5"/>
        <v>0</v>
      </c>
      <c r="C275">
        <f>SUM($B$2:B275)/A275</f>
        <v>78.571428571428569</v>
      </c>
    </row>
    <row r="276" spans="1:3" x14ac:dyDescent="0.2">
      <c r="A276">
        <v>274</v>
      </c>
      <c r="B276">
        <f t="shared" si="5"/>
        <v>0</v>
      </c>
      <c r="C276">
        <f>SUM($B$2:B276)/A276</f>
        <v>78.284671532846716</v>
      </c>
    </row>
    <row r="277" spans="1:3" x14ac:dyDescent="0.2">
      <c r="A277">
        <v>275</v>
      </c>
      <c r="B277">
        <f t="shared" si="5"/>
        <v>0</v>
      </c>
      <c r="C277">
        <f>SUM($B$2:B277)/A277</f>
        <v>78</v>
      </c>
    </row>
    <row r="278" spans="1:3" x14ac:dyDescent="0.2">
      <c r="A278">
        <v>276</v>
      </c>
      <c r="B278">
        <f t="shared" si="5"/>
        <v>0</v>
      </c>
      <c r="C278">
        <f>SUM($B$2:B278)/A278</f>
        <v>77.717391304347828</v>
      </c>
    </row>
    <row r="279" spans="1:3" x14ac:dyDescent="0.2">
      <c r="A279">
        <v>277</v>
      </c>
      <c r="B279">
        <f t="shared" si="5"/>
        <v>0</v>
      </c>
      <c r="C279">
        <f>SUM($B$2:B279)/A279</f>
        <v>77.436823104693147</v>
      </c>
    </row>
    <row r="280" spans="1:3" x14ac:dyDescent="0.2">
      <c r="A280">
        <v>278</v>
      </c>
      <c r="B280">
        <f t="shared" si="5"/>
        <v>0</v>
      </c>
      <c r="C280">
        <f>SUM($B$2:B280)/A280</f>
        <v>77.158273381294961</v>
      </c>
    </row>
    <row r="281" spans="1:3" x14ac:dyDescent="0.2">
      <c r="A281">
        <v>279</v>
      </c>
      <c r="B281">
        <f t="shared" si="5"/>
        <v>0</v>
      </c>
      <c r="C281">
        <f>SUM($B$2:B281)/A281</f>
        <v>76.881720430107521</v>
      </c>
    </row>
    <row r="282" spans="1:3" x14ac:dyDescent="0.2">
      <c r="A282">
        <v>280</v>
      </c>
      <c r="B282">
        <f t="shared" si="5"/>
        <v>0</v>
      </c>
      <c r="C282">
        <f>SUM($B$2:B282)/A282</f>
        <v>76.607142857142861</v>
      </c>
    </row>
    <row r="283" spans="1:3" x14ac:dyDescent="0.2">
      <c r="A283">
        <v>281</v>
      </c>
      <c r="B283">
        <f t="shared" si="5"/>
        <v>0</v>
      </c>
      <c r="C283">
        <f>SUM($B$2:B283)/A283</f>
        <v>76.334519572953738</v>
      </c>
    </row>
    <row r="284" spans="1:3" x14ac:dyDescent="0.2">
      <c r="A284">
        <v>282</v>
      </c>
      <c r="B284">
        <f t="shared" si="5"/>
        <v>0</v>
      </c>
      <c r="C284">
        <f>SUM($B$2:B284)/A284</f>
        <v>76.063829787234042</v>
      </c>
    </row>
    <row r="285" spans="1:3" x14ac:dyDescent="0.2">
      <c r="A285">
        <v>283</v>
      </c>
      <c r="B285">
        <f t="shared" si="5"/>
        <v>0</v>
      </c>
      <c r="C285">
        <f>SUM($B$2:B285)/A285</f>
        <v>75.795053003533567</v>
      </c>
    </row>
    <row r="286" spans="1:3" x14ac:dyDescent="0.2">
      <c r="A286">
        <v>284</v>
      </c>
      <c r="B286">
        <f t="shared" si="5"/>
        <v>0</v>
      </c>
      <c r="C286">
        <f>SUM($B$2:B286)/A286</f>
        <v>75.528169014084511</v>
      </c>
    </row>
    <row r="287" spans="1:3" x14ac:dyDescent="0.2">
      <c r="A287">
        <v>285</v>
      </c>
      <c r="B287">
        <f t="shared" si="5"/>
        <v>0</v>
      </c>
      <c r="C287">
        <f>SUM($B$2:B287)/A287</f>
        <v>75.263157894736835</v>
      </c>
    </row>
    <row r="288" spans="1:3" x14ac:dyDescent="0.2">
      <c r="A288">
        <v>286</v>
      </c>
      <c r="B288">
        <f t="shared" si="5"/>
        <v>0</v>
      </c>
      <c r="C288">
        <f>SUM($B$2:B288)/A288</f>
        <v>75</v>
      </c>
    </row>
    <row r="289" spans="1:3" x14ac:dyDescent="0.2">
      <c r="A289">
        <v>287</v>
      </c>
      <c r="B289">
        <f t="shared" si="5"/>
        <v>0</v>
      </c>
      <c r="C289">
        <f>SUM($B$2:B289)/A289</f>
        <v>74.738675958188153</v>
      </c>
    </row>
    <row r="290" spans="1:3" x14ac:dyDescent="0.2">
      <c r="A290">
        <v>288</v>
      </c>
      <c r="B290">
        <f t="shared" si="5"/>
        <v>0</v>
      </c>
      <c r="C290">
        <f>SUM($B$2:B290)/A290</f>
        <v>74.479166666666671</v>
      </c>
    </row>
    <row r="291" spans="1:3" x14ac:dyDescent="0.2">
      <c r="A291">
        <v>289</v>
      </c>
      <c r="B291">
        <f t="shared" si="5"/>
        <v>0</v>
      </c>
      <c r="C291">
        <f>SUM($B$2:B291)/A291</f>
        <v>74.221453287197235</v>
      </c>
    </row>
    <row r="292" spans="1:3" x14ac:dyDescent="0.2">
      <c r="A292">
        <v>290</v>
      </c>
      <c r="B292">
        <f t="shared" si="5"/>
        <v>0</v>
      </c>
      <c r="C292">
        <f>SUM($B$2:B292)/A292</f>
        <v>73.965517241379317</v>
      </c>
    </row>
    <row r="293" spans="1:3" x14ac:dyDescent="0.2">
      <c r="A293">
        <v>291</v>
      </c>
      <c r="B293">
        <f t="shared" si="5"/>
        <v>0</v>
      </c>
      <c r="C293">
        <f>SUM($B$2:B293)/A293</f>
        <v>73.711340206185568</v>
      </c>
    </row>
    <row r="294" spans="1:3" x14ac:dyDescent="0.2">
      <c r="A294">
        <v>292</v>
      </c>
      <c r="B294">
        <f t="shared" si="5"/>
        <v>0</v>
      </c>
      <c r="C294">
        <f>SUM($B$2:B294)/A294</f>
        <v>73.458904109589042</v>
      </c>
    </row>
    <row r="295" spans="1:3" x14ac:dyDescent="0.2">
      <c r="A295">
        <v>293</v>
      </c>
      <c r="B295">
        <f t="shared" si="5"/>
        <v>0</v>
      </c>
      <c r="C295">
        <f>SUM($B$2:B295)/A295</f>
        <v>73.208191126279857</v>
      </c>
    </row>
    <row r="296" spans="1:3" x14ac:dyDescent="0.2">
      <c r="A296">
        <v>294</v>
      </c>
      <c r="B296">
        <f t="shared" si="5"/>
        <v>0</v>
      </c>
      <c r="C296">
        <f>SUM($B$2:B296)/A296</f>
        <v>72.959183673469383</v>
      </c>
    </row>
    <row r="297" spans="1:3" x14ac:dyDescent="0.2">
      <c r="A297">
        <v>295</v>
      </c>
      <c r="B297">
        <f t="shared" si="5"/>
        <v>0</v>
      </c>
      <c r="C297">
        <f>SUM($B$2:B297)/A297</f>
        <v>72.711864406779668</v>
      </c>
    </row>
    <row r="298" spans="1:3" x14ac:dyDescent="0.2">
      <c r="A298">
        <v>296</v>
      </c>
      <c r="B298">
        <f t="shared" si="5"/>
        <v>0</v>
      </c>
      <c r="C298">
        <f>SUM($B$2:B298)/A298</f>
        <v>72.46621621621621</v>
      </c>
    </row>
    <row r="299" spans="1:3" x14ac:dyDescent="0.2">
      <c r="A299">
        <v>297</v>
      </c>
      <c r="B299">
        <f t="shared" si="5"/>
        <v>0</v>
      </c>
      <c r="C299">
        <f>SUM($B$2:B299)/A299</f>
        <v>72.222222222222229</v>
      </c>
    </row>
    <row r="300" spans="1:3" x14ac:dyDescent="0.2">
      <c r="A300">
        <v>298</v>
      </c>
      <c r="B300">
        <f t="shared" si="5"/>
        <v>0</v>
      </c>
      <c r="C300">
        <f>SUM($B$2:B300)/A300</f>
        <v>71.979865771812086</v>
      </c>
    </row>
    <row r="301" spans="1:3" x14ac:dyDescent="0.2">
      <c r="A301">
        <v>299</v>
      </c>
      <c r="B301">
        <f t="shared" si="5"/>
        <v>0</v>
      </c>
      <c r="C301">
        <f>SUM($B$2:B301)/A301</f>
        <v>71.739130434782609</v>
      </c>
    </row>
    <row r="302" spans="1:3" x14ac:dyDescent="0.2">
      <c r="A302">
        <v>300</v>
      </c>
      <c r="B302">
        <f t="shared" si="5"/>
        <v>0</v>
      </c>
      <c r="C302">
        <f>SUM($B$2:B302)/A302</f>
        <v>71.5</v>
      </c>
    </row>
    <row r="303" spans="1:3" x14ac:dyDescent="0.2">
      <c r="A303">
        <v>301</v>
      </c>
      <c r="B303">
        <f t="shared" si="5"/>
        <v>0</v>
      </c>
      <c r="C303">
        <f>SUM($B$2:B303)/A303</f>
        <v>71.262458471760795</v>
      </c>
    </row>
    <row r="304" spans="1:3" x14ac:dyDescent="0.2">
      <c r="A304">
        <v>302</v>
      </c>
      <c r="B304">
        <f t="shared" si="5"/>
        <v>0</v>
      </c>
      <c r="C304">
        <f>SUM($B$2:B304)/A304</f>
        <v>71.026490066225165</v>
      </c>
    </row>
    <row r="305" spans="1:3" x14ac:dyDescent="0.2">
      <c r="A305">
        <v>303</v>
      </c>
      <c r="B305">
        <f t="shared" si="5"/>
        <v>0</v>
      </c>
      <c r="C305">
        <f>SUM($B$2:B305)/A305</f>
        <v>70.792079207920793</v>
      </c>
    </row>
    <row r="306" spans="1:3" x14ac:dyDescent="0.2">
      <c r="A306">
        <v>304</v>
      </c>
      <c r="B306">
        <f t="shared" si="5"/>
        <v>0</v>
      </c>
      <c r="C306">
        <f>SUM($B$2:B306)/A306</f>
        <v>70.559210526315795</v>
      </c>
    </row>
    <row r="307" spans="1:3" x14ac:dyDescent="0.2">
      <c r="A307">
        <v>305</v>
      </c>
      <c r="B307">
        <f t="shared" si="5"/>
        <v>0</v>
      </c>
      <c r="C307">
        <f>SUM($B$2:B307)/A307</f>
        <v>70.327868852459019</v>
      </c>
    </row>
    <row r="308" spans="1:3" x14ac:dyDescent="0.2">
      <c r="A308">
        <v>306</v>
      </c>
      <c r="B308">
        <f t="shared" si="5"/>
        <v>0</v>
      </c>
      <c r="C308">
        <f>SUM($B$2:B308)/A308</f>
        <v>70.098039215686271</v>
      </c>
    </row>
    <row r="309" spans="1:3" x14ac:dyDescent="0.2">
      <c r="A309">
        <v>307</v>
      </c>
      <c r="B309">
        <f t="shared" si="5"/>
        <v>0</v>
      </c>
      <c r="C309">
        <f>SUM($B$2:B309)/A309</f>
        <v>69.869706840390876</v>
      </c>
    </row>
    <row r="310" spans="1:3" x14ac:dyDescent="0.2">
      <c r="A310">
        <v>308</v>
      </c>
      <c r="B310">
        <f t="shared" si="5"/>
        <v>0</v>
      </c>
      <c r="C310">
        <f>SUM($B$2:B310)/A310</f>
        <v>69.642857142857139</v>
      </c>
    </row>
    <row r="311" spans="1:3" x14ac:dyDescent="0.2">
      <c r="A311">
        <v>309</v>
      </c>
      <c r="B311">
        <f t="shared" si="5"/>
        <v>0</v>
      </c>
      <c r="C311">
        <f>SUM($B$2:B311)/A311</f>
        <v>69.417475728155338</v>
      </c>
    </row>
    <row r="312" spans="1:3" x14ac:dyDescent="0.2">
      <c r="A312">
        <v>310</v>
      </c>
      <c r="B312">
        <f t="shared" si="5"/>
        <v>0</v>
      </c>
      <c r="C312">
        <f>SUM($B$2:B312)/A312</f>
        <v>69.193548387096769</v>
      </c>
    </row>
    <row r="313" spans="1:3" x14ac:dyDescent="0.2">
      <c r="A313">
        <v>311</v>
      </c>
      <c r="B313">
        <f t="shared" si="5"/>
        <v>0</v>
      </c>
      <c r="C313">
        <f>SUM($B$2:B313)/A313</f>
        <v>68.971061093247584</v>
      </c>
    </row>
    <row r="314" spans="1:3" x14ac:dyDescent="0.2">
      <c r="A314">
        <v>312</v>
      </c>
      <c r="B314">
        <f t="shared" si="5"/>
        <v>0</v>
      </c>
      <c r="C314">
        <f>SUM($B$2:B314)/A314</f>
        <v>68.75</v>
      </c>
    </row>
    <row r="315" spans="1:3" x14ac:dyDescent="0.2">
      <c r="A315">
        <v>313</v>
      </c>
      <c r="B315">
        <f t="shared" si="5"/>
        <v>0</v>
      </c>
      <c r="C315">
        <f>SUM($B$2:B315)/A315</f>
        <v>68.530351437699679</v>
      </c>
    </row>
    <row r="316" spans="1:3" x14ac:dyDescent="0.2">
      <c r="A316">
        <v>314</v>
      </c>
      <c r="B316">
        <f t="shared" si="5"/>
        <v>0</v>
      </c>
      <c r="C316">
        <f>SUM($B$2:B316)/A316</f>
        <v>68.312101910828019</v>
      </c>
    </row>
    <row r="317" spans="1:3" x14ac:dyDescent="0.2">
      <c r="A317">
        <v>315</v>
      </c>
      <c r="B317">
        <f t="shared" si="5"/>
        <v>0</v>
      </c>
      <c r="C317">
        <f>SUM($B$2:B317)/A317</f>
        <v>68.095238095238102</v>
      </c>
    </row>
    <row r="318" spans="1:3" x14ac:dyDescent="0.2">
      <c r="A318">
        <v>316</v>
      </c>
      <c r="B318">
        <f t="shared" si="5"/>
        <v>0</v>
      </c>
      <c r="C318">
        <f>SUM($B$2:B318)/A318</f>
        <v>67.879746835443044</v>
      </c>
    </row>
    <row r="319" spans="1:3" x14ac:dyDescent="0.2">
      <c r="A319">
        <v>317</v>
      </c>
      <c r="B319">
        <f t="shared" si="5"/>
        <v>0</v>
      </c>
      <c r="C319">
        <f>SUM($B$2:B319)/A319</f>
        <v>67.66561514195584</v>
      </c>
    </row>
    <row r="320" spans="1:3" x14ac:dyDescent="0.2">
      <c r="A320">
        <v>318</v>
      </c>
      <c r="B320">
        <f t="shared" si="5"/>
        <v>0</v>
      </c>
      <c r="C320">
        <f>SUM($B$2:B320)/A320</f>
        <v>67.452830188679243</v>
      </c>
    </row>
    <row r="321" spans="1:3" x14ac:dyDescent="0.2">
      <c r="A321">
        <v>319</v>
      </c>
      <c r="B321">
        <f t="shared" si="5"/>
        <v>0</v>
      </c>
      <c r="C321">
        <f>SUM($B$2:B321)/A321</f>
        <v>67.241379310344826</v>
      </c>
    </row>
    <row r="322" spans="1:3" x14ac:dyDescent="0.2">
      <c r="A322">
        <v>320</v>
      </c>
      <c r="B322">
        <f t="shared" si="5"/>
        <v>0</v>
      </c>
      <c r="C322">
        <f>SUM($B$2:B322)/A322</f>
        <v>67.03125</v>
      </c>
    </row>
    <row r="323" spans="1:3" x14ac:dyDescent="0.2">
      <c r="A323">
        <v>321</v>
      </c>
      <c r="B323">
        <f t="shared" si="5"/>
        <v>0</v>
      </c>
      <c r="C323">
        <f>SUM($B$2:B323)/A323</f>
        <v>66.822429906542055</v>
      </c>
    </row>
    <row r="324" spans="1:3" x14ac:dyDescent="0.2">
      <c r="A324">
        <v>322</v>
      </c>
      <c r="B324">
        <f t="shared" si="5"/>
        <v>0</v>
      </c>
      <c r="C324">
        <f>SUM($B$2:B324)/A324</f>
        <v>66.614906832298132</v>
      </c>
    </row>
    <row r="325" spans="1:3" x14ac:dyDescent="0.2">
      <c r="A325">
        <v>323</v>
      </c>
      <c r="B325">
        <f t="shared" ref="B325:B388" si="6">IF((A324-IF(A324+1/120&gt;1,ROUNDDOWN(A324/120,0)*120,0))/20&lt;1,ROUNDDOWN((A324-120*ROUNDDOWN(A324/120,0))/2,0)*65+65,0)</f>
        <v>0</v>
      </c>
      <c r="C325">
        <f>SUM($B$2:B325)/A325</f>
        <v>66.408668730650149</v>
      </c>
    </row>
    <row r="326" spans="1:3" x14ac:dyDescent="0.2">
      <c r="A326">
        <v>324</v>
      </c>
      <c r="B326">
        <f t="shared" si="6"/>
        <v>0</v>
      </c>
      <c r="C326">
        <f>SUM($B$2:B326)/A326</f>
        <v>66.203703703703709</v>
      </c>
    </row>
    <row r="327" spans="1:3" x14ac:dyDescent="0.2">
      <c r="A327">
        <v>325</v>
      </c>
      <c r="B327">
        <f t="shared" si="6"/>
        <v>0</v>
      </c>
      <c r="C327">
        <f>SUM($B$2:B327)/A327</f>
        <v>66</v>
      </c>
    </row>
    <row r="328" spans="1:3" x14ac:dyDescent="0.2">
      <c r="A328">
        <v>326</v>
      </c>
      <c r="B328">
        <f t="shared" si="6"/>
        <v>0</v>
      </c>
      <c r="C328">
        <f>SUM($B$2:B328)/A328</f>
        <v>65.797546012269933</v>
      </c>
    </row>
    <row r="329" spans="1:3" x14ac:dyDescent="0.2">
      <c r="A329">
        <v>327</v>
      </c>
      <c r="B329">
        <f t="shared" si="6"/>
        <v>0</v>
      </c>
      <c r="C329">
        <f>SUM($B$2:B329)/A329</f>
        <v>65.596330275229363</v>
      </c>
    </row>
    <row r="330" spans="1:3" x14ac:dyDescent="0.2">
      <c r="A330">
        <v>328</v>
      </c>
      <c r="B330">
        <f t="shared" si="6"/>
        <v>0</v>
      </c>
      <c r="C330">
        <f>SUM($B$2:B330)/A330</f>
        <v>65.396341463414629</v>
      </c>
    </row>
    <row r="331" spans="1:3" x14ac:dyDescent="0.2">
      <c r="A331">
        <v>329</v>
      </c>
      <c r="B331">
        <f t="shared" si="6"/>
        <v>0</v>
      </c>
      <c r="C331">
        <f>SUM($B$2:B331)/A331</f>
        <v>65.19756838905775</v>
      </c>
    </row>
    <row r="332" spans="1:3" x14ac:dyDescent="0.2">
      <c r="A332">
        <v>330</v>
      </c>
      <c r="B332">
        <f t="shared" si="6"/>
        <v>0</v>
      </c>
      <c r="C332">
        <f>SUM($B$2:B332)/A332</f>
        <v>65</v>
      </c>
    </row>
    <row r="333" spans="1:3" x14ac:dyDescent="0.2">
      <c r="A333">
        <v>331</v>
      </c>
      <c r="B333">
        <f t="shared" si="6"/>
        <v>0</v>
      </c>
      <c r="C333">
        <f>SUM($B$2:B333)/A333</f>
        <v>64.803625377643499</v>
      </c>
    </row>
    <row r="334" spans="1:3" x14ac:dyDescent="0.2">
      <c r="A334">
        <v>332</v>
      </c>
      <c r="B334">
        <f t="shared" si="6"/>
        <v>0</v>
      </c>
      <c r="C334">
        <f>SUM($B$2:B334)/A334</f>
        <v>64.608433734939766</v>
      </c>
    </row>
    <row r="335" spans="1:3" x14ac:dyDescent="0.2">
      <c r="A335">
        <v>333</v>
      </c>
      <c r="B335">
        <f t="shared" si="6"/>
        <v>0</v>
      </c>
      <c r="C335">
        <f>SUM($B$2:B335)/A335</f>
        <v>64.414414414414409</v>
      </c>
    </row>
    <row r="336" spans="1:3" x14ac:dyDescent="0.2">
      <c r="A336">
        <v>334</v>
      </c>
      <c r="B336">
        <f t="shared" si="6"/>
        <v>0</v>
      </c>
      <c r="C336">
        <f>SUM($B$2:B336)/A336</f>
        <v>64.221556886227546</v>
      </c>
    </row>
    <row r="337" spans="1:3" x14ac:dyDescent="0.2">
      <c r="A337">
        <v>335</v>
      </c>
      <c r="B337">
        <f t="shared" si="6"/>
        <v>0</v>
      </c>
      <c r="C337">
        <f>SUM($B$2:B337)/A337</f>
        <v>64.02985074626865</v>
      </c>
    </row>
    <row r="338" spans="1:3" x14ac:dyDescent="0.2">
      <c r="A338">
        <v>336</v>
      </c>
      <c r="B338">
        <f t="shared" si="6"/>
        <v>0</v>
      </c>
      <c r="C338">
        <f>SUM($B$2:B338)/A338</f>
        <v>63.839285714285715</v>
      </c>
    </row>
    <row r="339" spans="1:3" x14ac:dyDescent="0.2">
      <c r="A339">
        <v>337</v>
      </c>
      <c r="B339">
        <f t="shared" si="6"/>
        <v>0</v>
      </c>
      <c r="C339">
        <f>SUM($B$2:B339)/A339</f>
        <v>63.649851632047479</v>
      </c>
    </row>
    <row r="340" spans="1:3" x14ac:dyDescent="0.2">
      <c r="A340">
        <v>338</v>
      </c>
      <c r="B340">
        <f t="shared" si="6"/>
        <v>0</v>
      </c>
      <c r="C340">
        <f>SUM($B$2:B340)/A340</f>
        <v>63.46153846153846</v>
      </c>
    </row>
    <row r="341" spans="1:3" x14ac:dyDescent="0.2">
      <c r="A341">
        <v>339</v>
      </c>
      <c r="B341">
        <f t="shared" si="6"/>
        <v>0</v>
      </c>
      <c r="C341">
        <f>SUM($B$2:B341)/A341</f>
        <v>63.274336283185839</v>
      </c>
    </row>
    <row r="342" spans="1:3" x14ac:dyDescent="0.2">
      <c r="A342">
        <v>340</v>
      </c>
      <c r="B342">
        <f t="shared" si="6"/>
        <v>0</v>
      </c>
      <c r="C342">
        <f>SUM($B$2:B342)/A342</f>
        <v>63.088235294117645</v>
      </c>
    </row>
    <row r="343" spans="1:3" x14ac:dyDescent="0.2">
      <c r="A343">
        <v>341</v>
      </c>
      <c r="B343">
        <f t="shared" si="6"/>
        <v>0</v>
      </c>
      <c r="C343">
        <f>SUM($B$2:B343)/A343</f>
        <v>62.903225806451616</v>
      </c>
    </row>
    <row r="344" spans="1:3" x14ac:dyDescent="0.2">
      <c r="A344">
        <v>342</v>
      </c>
      <c r="B344">
        <f t="shared" si="6"/>
        <v>0</v>
      </c>
      <c r="C344">
        <f>SUM($B$2:B344)/A344</f>
        <v>62.719298245614034</v>
      </c>
    </row>
    <row r="345" spans="1:3" x14ac:dyDescent="0.2">
      <c r="A345">
        <v>343</v>
      </c>
      <c r="B345">
        <f t="shared" si="6"/>
        <v>0</v>
      </c>
      <c r="C345">
        <f>SUM($B$2:B345)/A345</f>
        <v>62.536443148688043</v>
      </c>
    </row>
    <row r="346" spans="1:3" x14ac:dyDescent="0.2">
      <c r="A346">
        <v>344</v>
      </c>
      <c r="B346">
        <f t="shared" si="6"/>
        <v>0</v>
      </c>
      <c r="C346">
        <f>SUM($B$2:B346)/A346</f>
        <v>62.354651162790695</v>
      </c>
    </row>
    <row r="347" spans="1:3" x14ac:dyDescent="0.2">
      <c r="A347">
        <v>345</v>
      </c>
      <c r="B347">
        <f t="shared" si="6"/>
        <v>0</v>
      </c>
      <c r="C347">
        <f>SUM($B$2:B347)/A347</f>
        <v>62.173913043478258</v>
      </c>
    </row>
    <row r="348" spans="1:3" x14ac:dyDescent="0.2">
      <c r="A348">
        <v>346</v>
      </c>
      <c r="B348">
        <f t="shared" si="6"/>
        <v>0</v>
      </c>
      <c r="C348">
        <f>SUM($B$2:B348)/A348</f>
        <v>61.994219653179194</v>
      </c>
    </row>
    <row r="349" spans="1:3" x14ac:dyDescent="0.2">
      <c r="A349">
        <v>347</v>
      </c>
      <c r="B349">
        <f t="shared" si="6"/>
        <v>0</v>
      </c>
      <c r="C349">
        <f>SUM($B$2:B349)/A349</f>
        <v>61.815561959654175</v>
      </c>
    </row>
    <row r="350" spans="1:3" x14ac:dyDescent="0.2">
      <c r="A350">
        <v>348</v>
      </c>
      <c r="B350">
        <f t="shared" si="6"/>
        <v>0</v>
      </c>
      <c r="C350">
        <f>SUM($B$2:B350)/A350</f>
        <v>61.637931034482762</v>
      </c>
    </row>
    <row r="351" spans="1:3" x14ac:dyDescent="0.2">
      <c r="A351">
        <v>349</v>
      </c>
      <c r="B351">
        <f t="shared" si="6"/>
        <v>0</v>
      </c>
      <c r="C351">
        <f>SUM($B$2:B351)/A351</f>
        <v>61.46131805157593</v>
      </c>
    </row>
    <row r="352" spans="1:3" x14ac:dyDescent="0.2">
      <c r="A352">
        <v>350</v>
      </c>
      <c r="B352">
        <f t="shared" si="6"/>
        <v>0</v>
      </c>
      <c r="C352">
        <f>SUM($B$2:B352)/A352</f>
        <v>61.285714285714285</v>
      </c>
    </row>
    <row r="353" spans="1:3" x14ac:dyDescent="0.2">
      <c r="A353">
        <v>351</v>
      </c>
      <c r="B353">
        <f t="shared" si="6"/>
        <v>0</v>
      </c>
      <c r="C353">
        <f>SUM($B$2:B353)/A353</f>
        <v>61.111111111111114</v>
      </c>
    </row>
    <row r="354" spans="1:3" x14ac:dyDescent="0.2">
      <c r="A354">
        <v>352</v>
      </c>
      <c r="B354">
        <f t="shared" si="6"/>
        <v>0</v>
      </c>
      <c r="C354">
        <f>SUM($B$2:B354)/A354</f>
        <v>60.9375</v>
      </c>
    </row>
    <row r="355" spans="1:3" x14ac:dyDescent="0.2">
      <c r="A355">
        <v>353</v>
      </c>
      <c r="B355">
        <f t="shared" si="6"/>
        <v>0</v>
      </c>
      <c r="C355">
        <f>SUM($B$2:B355)/A355</f>
        <v>60.76487252124646</v>
      </c>
    </row>
    <row r="356" spans="1:3" x14ac:dyDescent="0.2">
      <c r="A356">
        <v>354</v>
      </c>
      <c r="B356">
        <f t="shared" si="6"/>
        <v>0</v>
      </c>
      <c r="C356">
        <f>SUM($B$2:B356)/A356</f>
        <v>60.593220338983052</v>
      </c>
    </row>
    <row r="357" spans="1:3" x14ac:dyDescent="0.2">
      <c r="A357">
        <v>355</v>
      </c>
      <c r="B357">
        <f t="shared" si="6"/>
        <v>0</v>
      </c>
      <c r="C357">
        <f>SUM($B$2:B357)/A357</f>
        <v>60.422535211267608</v>
      </c>
    </row>
    <row r="358" spans="1:3" x14ac:dyDescent="0.2">
      <c r="A358">
        <v>356</v>
      </c>
      <c r="B358">
        <f t="shared" si="6"/>
        <v>0</v>
      </c>
      <c r="C358">
        <f>SUM($B$2:B358)/A358</f>
        <v>60.252808988764045</v>
      </c>
    </row>
    <row r="359" spans="1:3" x14ac:dyDescent="0.2">
      <c r="A359">
        <v>357</v>
      </c>
      <c r="B359">
        <f t="shared" si="6"/>
        <v>0</v>
      </c>
      <c r="C359">
        <f>SUM($B$2:B359)/A359</f>
        <v>60.084033613445378</v>
      </c>
    </row>
    <row r="360" spans="1:3" x14ac:dyDescent="0.2">
      <c r="A360">
        <v>358</v>
      </c>
      <c r="B360">
        <f t="shared" si="6"/>
        <v>0</v>
      </c>
      <c r="C360">
        <f>SUM($B$2:B360)/A360</f>
        <v>59.916201117318437</v>
      </c>
    </row>
    <row r="361" spans="1:3" x14ac:dyDescent="0.2">
      <c r="A361">
        <v>359</v>
      </c>
      <c r="B361">
        <f t="shared" si="6"/>
        <v>0</v>
      </c>
      <c r="C361">
        <f>SUM($B$2:B361)/A361</f>
        <v>59.749303621169915</v>
      </c>
    </row>
    <row r="362" spans="1:3" x14ac:dyDescent="0.2">
      <c r="A362">
        <v>360</v>
      </c>
      <c r="B362">
        <f t="shared" si="6"/>
        <v>0</v>
      </c>
      <c r="C362">
        <f>SUM($B$2:B362)/A362</f>
        <v>59.583333333333336</v>
      </c>
    </row>
    <row r="363" spans="1:3" x14ac:dyDescent="0.2">
      <c r="A363">
        <v>361</v>
      </c>
      <c r="B363">
        <f t="shared" si="6"/>
        <v>65</v>
      </c>
      <c r="C363">
        <f>SUM($B$2:B363)/A363</f>
        <v>59.598337950138507</v>
      </c>
    </row>
    <row r="364" spans="1:3" x14ac:dyDescent="0.2">
      <c r="A364">
        <v>362</v>
      </c>
      <c r="B364">
        <f t="shared" si="6"/>
        <v>65</v>
      </c>
      <c r="C364">
        <f>SUM($B$2:B364)/A364</f>
        <v>59.613259668508285</v>
      </c>
    </row>
    <row r="365" spans="1:3" x14ac:dyDescent="0.2">
      <c r="A365">
        <v>363</v>
      </c>
      <c r="B365">
        <f t="shared" si="6"/>
        <v>130</v>
      </c>
      <c r="C365">
        <f>SUM($B$2:B365)/A365</f>
        <v>59.807162534435264</v>
      </c>
    </row>
    <row r="366" spans="1:3" x14ac:dyDescent="0.2">
      <c r="A366">
        <v>364</v>
      </c>
      <c r="B366">
        <f t="shared" si="6"/>
        <v>130</v>
      </c>
      <c r="C366">
        <f>SUM($B$2:B366)/A366</f>
        <v>60</v>
      </c>
    </row>
    <row r="367" spans="1:3" x14ac:dyDescent="0.2">
      <c r="A367">
        <v>365</v>
      </c>
      <c r="B367">
        <f t="shared" si="6"/>
        <v>195</v>
      </c>
      <c r="C367">
        <f>SUM($B$2:B367)/A367</f>
        <v>60.369863013698627</v>
      </c>
    </row>
    <row r="368" spans="1:3" x14ac:dyDescent="0.2">
      <c r="A368">
        <v>366</v>
      </c>
      <c r="B368">
        <f t="shared" si="6"/>
        <v>195</v>
      </c>
      <c r="C368">
        <f>SUM($B$2:B368)/A368</f>
        <v>60.73770491803279</v>
      </c>
    </row>
    <row r="369" spans="1:3" x14ac:dyDescent="0.2">
      <c r="A369">
        <v>367</v>
      </c>
      <c r="B369">
        <f t="shared" si="6"/>
        <v>260</v>
      </c>
      <c r="C369">
        <f>SUM($B$2:B369)/A369</f>
        <v>61.280653950953678</v>
      </c>
    </row>
    <row r="370" spans="1:3" x14ac:dyDescent="0.2">
      <c r="A370">
        <v>368</v>
      </c>
      <c r="B370">
        <f t="shared" si="6"/>
        <v>260</v>
      </c>
      <c r="C370">
        <f>SUM($B$2:B370)/A370</f>
        <v>61.820652173913047</v>
      </c>
    </row>
    <row r="371" spans="1:3" x14ac:dyDescent="0.2">
      <c r="A371">
        <v>369</v>
      </c>
      <c r="B371">
        <f t="shared" si="6"/>
        <v>325</v>
      </c>
      <c r="C371">
        <f>SUM($B$2:B371)/A371</f>
        <v>62.53387533875339</v>
      </c>
    </row>
    <row r="372" spans="1:3" x14ac:dyDescent="0.2">
      <c r="A372">
        <v>370</v>
      </c>
      <c r="B372">
        <f t="shared" si="6"/>
        <v>325</v>
      </c>
      <c r="C372">
        <f>SUM($B$2:B372)/A372</f>
        <v>63.243243243243242</v>
      </c>
    </row>
    <row r="373" spans="1:3" x14ac:dyDescent="0.2">
      <c r="A373">
        <v>371</v>
      </c>
      <c r="B373">
        <f t="shared" si="6"/>
        <v>390</v>
      </c>
      <c r="C373">
        <f>SUM($B$2:B373)/A373</f>
        <v>64.123989218328845</v>
      </c>
    </row>
    <row r="374" spans="1:3" x14ac:dyDescent="0.2">
      <c r="A374">
        <v>372</v>
      </c>
      <c r="B374">
        <f t="shared" si="6"/>
        <v>390</v>
      </c>
      <c r="C374">
        <f>SUM($B$2:B374)/A374</f>
        <v>65</v>
      </c>
    </row>
    <row r="375" spans="1:3" x14ac:dyDescent="0.2">
      <c r="A375">
        <v>373</v>
      </c>
      <c r="B375">
        <f t="shared" si="6"/>
        <v>455</v>
      </c>
      <c r="C375">
        <f>SUM($B$2:B375)/A375</f>
        <v>66.045576407506701</v>
      </c>
    </row>
    <row r="376" spans="1:3" x14ac:dyDescent="0.2">
      <c r="A376">
        <v>374</v>
      </c>
      <c r="B376">
        <f t="shared" si="6"/>
        <v>455</v>
      </c>
      <c r="C376">
        <f>SUM($B$2:B376)/A376</f>
        <v>67.085561497326196</v>
      </c>
    </row>
    <row r="377" spans="1:3" x14ac:dyDescent="0.2">
      <c r="A377">
        <v>375</v>
      </c>
      <c r="B377">
        <f t="shared" si="6"/>
        <v>520</v>
      </c>
      <c r="C377">
        <f>SUM($B$2:B377)/A377</f>
        <v>68.293333333333337</v>
      </c>
    </row>
    <row r="378" spans="1:3" x14ac:dyDescent="0.2">
      <c r="A378">
        <v>376</v>
      </c>
      <c r="B378">
        <f t="shared" si="6"/>
        <v>520</v>
      </c>
      <c r="C378">
        <f>SUM($B$2:B378)/A378</f>
        <v>69.494680851063833</v>
      </c>
    </row>
    <row r="379" spans="1:3" x14ac:dyDescent="0.2">
      <c r="A379">
        <v>377</v>
      </c>
      <c r="B379">
        <f t="shared" si="6"/>
        <v>585</v>
      </c>
      <c r="C379">
        <f>SUM($B$2:B379)/A379</f>
        <v>70.862068965517238</v>
      </c>
    </row>
    <row r="380" spans="1:3" x14ac:dyDescent="0.2">
      <c r="A380">
        <v>378</v>
      </c>
      <c r="B380">
        <f t="shared" si="6"/>
        <v>585</v>
      </c>
      <c r="C380">
        <f>SUM($B$2:B380)/A380</f>
        <v>72.222222222222229</v>
      </c>
    </row>
    <row r="381" spans="1:3" x14ac:dyDescent="0.2">
      <c r="A381">
        <v>379</v>
      </c>
      <c r="B381">
        <f t="shared" si="6"/>
        <v>650</v>
      </c>
      <c r="C381">
        <f>SUM($B$2:B381)/A381</f>
        <v>73.746701846965706</v>
      </c>
    </row>
    <row r="382" spans="1:3" x14ac:dyDescent="0.2">
      <c r="A382">
        <v>380</v>
      </c>
      <c r="B382">
        <f t="shared" si="6"/>
        <v>650</v>
      </c>
      <c r="C382">
        <f>SUM($B$2:B382)/A382</f>
        <v>75.263157894736835</v>
      </c>
    </row>
    <row r="383" spans="1:3" x14ac:dyDescent="0.2">
      <c r="A383">
        <v>381</v>
      </c>
      <c r="B383">
        <f t="shared" si="6"/>
        <v>0</v>
      </c>
      <c r="C383">
        <f>SUM($B$2:B383)/A383</f>
        <v>75.065616797900262</v>
      </c>
    </row>
    <row r="384" spans="1:3" x14ac:dyDescent="0.2">
      <c r="A384">
        <v>382</v>
      </c>
      <c r="B384">
        <f t="shared" si="6"/>
        <v>0</v>
      </c>
      <c r="C384">
        <f>SUM($B$2:B384)/A384</f>
        <v>74.869109947643977</v>
      </c>
    </row>
    <row r="385" spans="1:3" x14ac:dyDescent="0.2">
      <c r="A385">
        <v>383</v>
      </c>
      <c r="B385">
        <f t="shared" si="6"/>
        <v>0</v>
      </c>
      <c r="C385">
        <f>SUM($B$2:B385)/A385</f>
        <v>74.673629242819842</v>
      </c>
    </row>
    <row r="386" spans="1:3" x14ac:dyDescent="0.2">
      <c r="A386">
        <v>384</v>
      </c>
      <c r="B386">
        <f t="shared" si="6"/>
        <v>0</v>
      </c>
      <c r="C386">
        <f>SUM($B$2:B386)/A386</f>
        <v>74.479166666666671</v>
      </c>
    </row>
    <row r="387" spans="1:3" x14ac:dyDescent="0.2">
      <c r="A387">
        <v>385</v>
      </c>
      <c r="B387">
        <f t="shared" si="6"/>
        <v>0</v>
      </c>
      <c r="C387">
        <f>SUM($B$2:B387)/A387</f>
        <v>74.285714285714292</v>
      </c>
    </row>
    <row r="388" spans="1:3" x14ac:dyDescent="0.2">
      <c r="A388">
        <v>386</v>
      </c>
      <c r="B388">
        <f t="shared" si="6"/>
        <v>0</v>
      </c>
      <c r="C388">
        <f>SUM($B$2:B388)/A388</f>
        <v>74.093264248704656</v>
      </c>
    </row>
    <row r="389" spans="1:3" x14ac:dyDescent="0.2">
      <c r="A389">
        <v>387</v>
      </c>
      <c r="B389">
        <f t="shared" ref="B389:B452" si="7">IF((A388-IF(A388+1/120&gt;1,ROUNDDOWN(A388/120,0)*120,0))/20&lt;1,ROUNDDOWN((A388-120*ROUNDDOWN(A388/120,0))/2,0)*65+65,0)</f>
        <v>0</v>
      </c>
      <c r="C389">
        <f>SUM($B$2:B389)/A389</f>
        <v>73.90180878552971</v>
      </c>
    </row>
    <row r="390" spans="1:3" x14ac:dyDescent="0.2">
      <c r="A390">
        <v>388</v>
      </c>
      <c r="B390">
        <f t="shared" si="7"/>
        <v>0</v>
      </c>
      <c r="C390">
        <f>SUM($B$2:B390)/A390</f>
        <v>73.711340206185568</v>
      </c>
    </row>
    <row r="391" spans="1:3" x14ac:dyDescent="0.2">
      <c r="A391">
        <v>389</v>
      </c>
      <c r="B391">
        <f t="shared" si="7"/>
        <v>0</v>
      </c>
      <c r="C391">
        <f>SUM($B$2:B391)/A391</f>
        <v>73.52185089974293</v>
      </c>
    </row>
    <row r="392" spans="1:3" x14ac:dyDescent="0.2">
      <c r="A392">
        <v>390</v>
      </c>
      <c r="B392">
        <f t="shared" si="7"/>
        <v>0</v>
      </c>
      <c r="C392">
        <f>SUM($B$2:B392)/A392</f>
        <v>73.333333333333329</v>
      </c>
    </row>
    <row r="393" spans="1:3" x14ac:dyDescent="0.2">
      <c r="A393">
        <v>391</v>
      </c>
      <c r="B393">
        <f t="shared" si="7"/>
        <v>0</v>
      </c>
      <c r="C393">
        <f>SUM($B$2:B393)/A393</f>
        <v>73.145780051150894</v>
      </c>
    </row>
    <row r="394" spans="1:3" x14ac:dyDescent="0.2">
      <c r="A394">
        <v>392</v>
      </c>
      <c r="B394">
        <f t="shared" si="7"/>
        <v>0</v>
      </c>
      <c r="C394">
        <f>SUM($B$2:B394)/A394</f>
        <v>72.959183673469383</v>
      </c>
    </row>
    <row r="395" spans="1:3" x14ac:dyDescent="0.2">
      <c r="A395">
        <v>393</v>
      </c>
      <c r="B395">
        <f t="shared" si="7"/>
        <v>0</v>
      </c>
      <c r="C395">
        <f>SUM($B$2:B395)/A395</f>
        <v>72.773536895674297</v>
      </c>
    </row>
    <row r="396" spans="1:3" x14ac:dyDescent="0.2">
      <c r="A396">
        <v>394</v>
      </c>
      <c r="B396">
        <f t="shared" si="7"/>
        <v>0</v>
      </c>
      <c r="C396">
        <f>SUM($B$2:B396)/A396</f>
        <v>72.588832487309645</v>
      </c>
    </row>
    <row r="397" spans="1:3" x14ac:dyDescent="0.2">
      <c r="A397">
        <v>395</v>
      </c>
      <c r="B397">
        <f t="shared" si="7"/>
        <v>0</v>
      </c>
      <c r="C397">
        <f>SUM($B$2:B397)/A397</f>
        <v>72.405063291139243</v>
      </c>
    </row>
    <row r="398" spans="1:3" x14ac:dyDescent="0.2">
      <c r="A398">
        <v>396</v>
      </c>
      <c r="B398">
        <f t="shared" si="7"/>
        <v>0</v>
      </c>
      <c r="C398">
        <f>SUM($B$2:B398)/A398</f>
        <v>72.222222222222229</v>
      </c>
    </row>
    <row r="399" spans="1:3" x14ac:dyDescent="0.2">
      <c r="A399">
        <v>397</v>
      </c>
      <c r="B399">
        <f t="shared" si="7"/>
        <v>0</v>
      </c>
      <c r="C399">
        <f>SUM($B$2:B399)/A399</f>
        <v>72.040302267002517</v>
      </c>
    </row>
    <row r="400" spans="1:3" x14ac:dyDescent="0.2">
      <c r="A400">
        <v>398</v>
      </c>
      <c r="B400">
        <f t="shared" si="7"/>
        <v>0</v>
      </c>
      <c r="C400">
        <f>SUM($B$2:B400)/A400</f>
        <v>71.859296482412063</v>
      </c>
    </row>
    <row r="401" spans="1:3" x14ac:dyDescent="0.2">
      <c r="A401">
        <v>399</v>
      </c>
      <c r="B401">
        <f t="shared" si="7"/>
        <v>0</v>
      </c>
      <c r="C401">
        <f>SUM($B$2:B401)/A401</f>
        <v>71.679197994987462</v>
      </c>
    </row>
    <row r="402" spans="1:3" x14ac:dyDescent="0.2">
      <c r="A402">
        <v>400</v>
      </c>
      <c r="B402">
        <f t="shared" si="7"/>
        <v>0</v>
      </c>
      <c r="C402">
        <f>SUM($B$2:B402)/A402</f>
        <v>71.5</v>
      </c>
    </row>
    <row r="403" spans="1:3" x14ac:dyDescent="0.2">
      <c r="A403">
        <v>401</v>
      </c>
      <c r="B403">
        <f t="shared" si="7"/>
        <v>0</v>
      </c>
      <c r="C403">
        <f>SUM($B$2:B403)/A403</f>
        <v>71.321695760598502</v>
      </c>
    </row>
    <row r="404" spans="1:3" x14ac:dyDescent="0.2">
      <c r="A404">
        <v>402</v>
      </c>
      <c r="B404">
        <f t="shared" si="7"/>
        <v>0</v>
      </c>
      <c r="C404">
        <f>SUM($B$2:B404)/A404</f>
        <v>71.144278606965173</v>
      </c>
    </row>
    <row r="405" spans="1:3" x14ac:dyDescent="0.2">
      <c r="A405">
        <v>403</v>
      </c>
      <c r="B405">
        <f t="shared" si="7"/>
        <v>0</v>
      </c>
      <c r="C405">
        <f>SUM($B$2:B405)/A405</f>
        <v>70.967741935483872</v>
      </c>
    </row>
    <row r="406" spans="1:3" x14ac:dyDescent="0.2">
      <c r="A406">
        <v>404</v>
      </c>
      <c r="B406">
        <f t="shared" si="7"/>
        <v>0</v>
      </c>
      <c r="C406">
        <f>SUM($B$2:B406)/A406</f>
        <v>70.792079207920793</v>
      </c>
    </row>
    <row r="407" spans="1:3" x14ac:dyDescent="0.2">
      <c r="A407">
        <v>405</v>
      </c>
      <c r="B407">
        <f t="shared" si="7"/>
        <v>0</v>
      </c>
      <c r="C407">
        <f>SUM($B$2:B407)/A407</f>
        <v>70.617283950617278</v>
      </c>
    </row>
    <row r="408" spans="1:3" x14ac:dyDescent="0.2">
      <c r="A408">
        <v>406</v>
      </c>
      <c r="B408">
        <f t="shared" si="7"/>
        <v>0</v>
      </c>
      <c r="C408">
        <f>SUM($B$2:B408)/A408</f>
        <v>70.443349753694577</v>
      </c>
    </row>
    <row r="409" spans="1:3" x14ac:dyDescent="0.2">
      <c r="A409">
        <v>407</v>
      </c>
      <c r="B409">
        <f t="shared" si="7"/>
        <v>0</v>
      </c>
      <c r="C409">
        <f>SUM($B$2:B409)/A409</f>
        <v>70.270270270270274</v>
      </c>
    </row>
    <row r="410" spans="1:3" x14ac:dyDescent="0.2">
      <c r="A410">
        <v>408</v>
      </c>
      <c r="B410">
        <f t="shared" si="7"/>
        <v>0</v>
      </c>
      <c r="C410">
        <f>SUM($B$2:B410)/A410</f>
        <v>70.098039215686271</v>
      </c>
    </row>
    <row r="411" spans="1:3" x14ac:dyDescent="0.2">
      <c r="A411">
        <v>409</v>
      </c>
      <c r="B411">
        <f t="shared" si="7"/>
        <v>0</v>
      </c>
      <c r="C411">
        <f>SUM($B$2:B411)/A411</f>
        <v>69.926650366748163</v>
      </c>
    </row>
    <row r="412" spans="1:3" x14ac:dyDescent="0.2">
      <c r="A412">
        <v>410</v>
      </c>
      <c r="B412">
        <f t="shared" si="7"/>
        <v>0</v>
      </c>
      <c r="C412">
        <f>SUM($B$2:B412)/A412</f>
        <v>69.756097560975604</v>
      </c>
    </row>
    <row r="413" spans="1:3" x14ac:dyDescent="0.2">
      <c r="A413">
        <v>411</v>
      </c>
      <c r="B413">
        <f t="shared" si="7"/>
        <v>0</v>
      </c>
      <c r="C413">
        <f>SUM($B$2:B413)/A413</f>
        <v>69.586374695863753</v>
      </c>
    </row>
    <row r="414" spans="1:3" x14ac:dyDescent="0.2">
      <c r="A414">
        <v>412</v>
      </c>
      <c r="B414">
        <f t="shared" si="7"/>
        <v>0</v>
      </c>
      <c r="C414">
        <f>SUM($B$2:B414)/A414</f>
        <v>69.417475728155338</v>
      </c>
    </row>
    <row r="415" spans="1:3" x14ac:dyDescent="0.2">
      <c r="A415">
        <v>413</v>
      </c>
      <c r="B415">
        <f t="shared" si="7"/>
        <v>0</v>
      </c>
      <c r="C415">
        <f>SUM($B$2:B415)/A415</f>
        <v>69.24939467312349</v>
      </c>
    </row>
    <row r="416" spans="1:3" x14ac:dyDescent="0.2">
      <c r="A416">
        <v>414</v>
      </c>
      <c r="B416">
        <f t="shared" si="7"/>
        <v>0</v>
      </c>
      <c r="C416">
        <f>SUM($B$2:B416)/A416</f>
        <v>69.082125603864739</v>
      </c>
    </row>
    <row r="417" spans="1:3" x14ac:dyDescent="0.2">
      <c r="A417">
        <v>415</v>
      </c>
      <c r="B417">
        <f t="shared" si="7"/>
        <v>0</v>
      </c>
      <c r="C417">
        <f>SUM($B$2:B417)/A417</f>
        <v>68.915662650602414</v>
      </c>
    </row>
    <row r="418" spans="1:3" x14ac:dyDescent="0.2">
      <c r="A418">
        <v>416</v>
      </c>
      <c r="B418">
        <f t="shared" si="7"/>
        <v>0</v>
      </c>
      <c r="C418">
        <f>SUM($B$2:B418)/A418</f>
        <v>68.75</v>
      </c>
    </row>
    <row r="419" spans="1:3" x14ac:dyDescent="0.2">
      <c r="A419">
        <v>417</v>
      </c>
      <c r="B419">
        <f t="shared" si="7"/>
        <v>0</v>
      </c>
      <c r="C419">
        <f>SUM($B$2:B419)/A419</f>
        <v>68.585131894484419</v>
      </c>
    </row>
    <row r="420" spans="1:3" x14ac:dyDescent="0.2">
      <c r="A420">
        <v>418</v>
      </c>
      <c r="B420">
        <f t="shared" si="7"/>
        <v>0</v>
      </c>
      <c r="C420">
        <f>SUM($B$2:B420)/A420</f>
        <v>68.421052631578945</v>
      </c>
    </row>
    <row r="421" spans="1:3" x14ac:dyDescent="0.2">
      <c r="A421">
        <v>419</v>
      </c>
      <c r="B421">
        <f t="shared" si="7"/>
        <v>0</v>
      </c>
      <c r="C421">
        <f>SUM($B$2:B421)/A421</f>
        <v>68.25775656324582</v>
      </c>
    </row>
    <row r="422" spans="1:3" x14ac:dyDescent="0.2">
      <c r="A422">
        <v>420</v>
      </c>
      <c r="B422">
        <f t="shared" si="7"/>
        <v>0</v>
      </c>
      <c r="C422">
        <f>SUM($B$2:B422)/A422</f>
        <v>68.095238095238102</v>
      </c>
    </row>
    <row r="423" spans="1:3" x14ac:dyDescent="0.2">
      <c r="A423">
        <v>421</v>
      </c>
      <c r="B423">
        <f t="shared" si="7"/>
        <v>0</v>
      </c>
      <c r="C423">
        <f>SUM($B$2:B423)/A423</f>
        <v>67.933491686460812</v>
      </c>
    </row>
    <row r="424" spans="1:3" x14ac:dyDescent="0.2">
      <c r="A424">
        <v>422</v>
      </c>
      <c r="B424">
        <f t="shared" si="7"/>
        <v>0</v>
      </c>
      <c r="C424">
        <f>SUM($B$2:B424)/A424</f>
        <v>67.772511848341239</v>
      </c>
    </row>
    <row r="425" spans="1:3" x14ac:dyDescent="0.2">
      <c r="A425">
        <v>423</v>
      </c>
      <c r="B425">
        <f t="shared" si="7"/>
        <v>0</v>
      </c>
      <c r="C425">
        <f>SUM($B$2:B425)/A425</f>
        <v>67.612293144208039</v>
      </c>
    </row>
    <row r="426" spans="1:3" x14ac:dyDescent="0.2">
      <c r="A426">
        <v>424</v>
      </c>
      <c r="B426">
        <f t="shared" si="7"/>
        <v>0</v>
      </c>
      <c r="C426">
        <f>SUM($B$2:B426)/A426</f>
        <v>67.452830188679243</v>
      </c>
    </row>
    <row r="427" spans="1:3" x14ac:dyDescent="0.2">
      <c r="A427">
        <v>425</v>
      </c>
      <c r="B427">
        <f t="shared" si="7"/>
        <v>0</v>
      </c>
      <c r="C427">
        <f>SUM($B$2:B427)/A427</f>
        <v>67.294117647058826</v>
      </c>
    </row>
    <row r="428" spans="1:3" x14ac:dyDescent="0.2">
      <c r="A428">
        <v>426</v>
      </c>
      <c r="B428">
        <f t="shared" si="7"/>
        <v>0</v>
      </c>
      <c r="C428">
        <f>SUM($B$2:B428)/A428</f>
        <v>67.136150234741791</v>
      </c>
    </row>
    <row r="429" spans="1:3" x14ac:dyDescent="0.2">
      <c r="A429">
        <v>427</v>
      </c>
      <c r="B429">
        <f t="shared" si="7"/>
        <v>0</v>
      </c>
      <c r="C429">
        <f>SUM($B$2:B429)/A429</f>
        <v>66.978922716627636</v>
      </c>
    </row>
    <row r="430" spans="1:3" x14ac:dyDescent="0.2">
      <c r="A430">
        <v>428</v>
      </c>
      <c r="B430">
        <f t="shared" si="7"/>
        <v>0</v>
      </c>
      <c r="C430">
        <f>SUM($B$2:B430)/A430</f>
        <v>66.822429906542055</v>
      </c>
    </row>
    <row r="431" spans="1:3" x14ac:dyDescent="0.2">
      <c r="A431">
        <v>429</v>
      </c>
      <c r="B431">
        <f t="shared" si="7"/>
        <v>0</v>
      </c>
      <c r="C431">
        <f>SUM($B$2:B431)/A431</f>
        <v>66.666666666666671</v>
      </c>
    </row>
    <row r="432" spans="1:3" x14ac:dyDescent="0.2">
      <c r="A432">
        <v>430</v>
      </c>
      <c r="B432">
        <f t="shared" si="7"/>
        <v>0</v>
      </c>
      <c r="C432">
        <f>SUM($B$2:B432)/A432</f>
        <v>66.511627906976742</v>
      </c>
    </row>
    <row r="433" spans="1:3" x14ac:dyDescent="0.2">
      <c r="A433">
        <v>431</v>
      </c>
      <c r="B433">
        <f t="shared" si="7"/>
        <v>0</v>
      </c>
      <c r="C433">
        <f>SUM($B$2:B433)/A433</f>
        <v>66.357308584686777</v>
      </c>
    </row>
    <row r="434" spans="1:3" x14ac:dyDescent="0.2">
      <c r="A434">
        <v>432</v>
      </c>
      <c r="B434">
        <f t="shared" si="7"/>
        <v>0</v>
      </c>
      <c r="C434">
        <f>SUM($B$2:B434)/A434</f>
        <v>66.203703703703709</v>
      </c>
    </row>
    <row r="435" spans="1:3" x14ac:dyDescent="0.2">
      <c r="A435">
        <v>433</v>
      </c>
      <c r="B435">
        <f t="shared" si="7"/>
        <v>0</v>
      </c>
      <c r="C435">
        <f>SUM($B$2:B435)/A435</f>
        <v>66.05080831408776</v>
      </c>
    </row>
    <row r="436" spans="1:3" x14ac:dyDescent="0.2">
      <c r="A436">
        <v>434</v>
      </c>
      <c r="B436">
        <f t="shared" si="7"/>
        <v>0</v>
      </c>
      <c r="C436">
        <f>SUM($B$2:B436)/A436</f>
        <v>65.89861751152074</v>
      </c>
    </row>
    <row r="437" spans="1:3" x14ac:dyDescent="0.2">
      <c r="A437">
        <v>435</v>
      </c>
      <c r="B437">
        <f t="shared" si="7"/>
        <v>0</v>
      </c>
      <c r="C437">
        <f>SUM($B$2:B437)/A437</f>
        <v>65.747126436781613</v>
      </c>
    </row>
    <row r="438" spans="1:3" x14ac:dyDescent="0.2">
      <c r="A438">
        <v>436</v>
      </c>
      <c r="B438">
        <f t="shared" si="7"/>
        <v>0</v>
      </c>
      <c r="C438">
        <f>SUM($B$2:B438)/A438</f>
        <v>65.596330275229363</v>
      </c>
    </row>
    <row r="439" spans="1:3" x14ac:dyDescent="0.2">
      <c r="A439">
        <v>437</v>
      </c>
      <c r="B439">
        <f t="shared" si="7"/>
        <v>0</v>
      </c>
      <c r="C439">
        <f>SUM($B$2:B439)/A439</f>
        <v>65.446224256292908</v>
      </c>
    </row>
    <row r="440" spans="1:3" x14ac:dyDescent="0.2">
      <c r="A440">
        <v>438</v>
      </c>
      <c r="B440">
        <f t="shared" si="7"/>
        <v>0</v>
      </c>
      <c r="C440">
        <f>SUM($B$2:B440)/A440</f>
        <v>65.296803652968038</v>
      </c>
    </row>
    <row r="441" spans="1:3" x14ac:dyDescent="0.2">
      <c r="A441">
        <v>439</v>
      </c>
      <c r="B441">
        <f t="shared" si="7"/>
        <v>0</v>
      </c>
      <c r="C441">
        <f>SUM($B$2:B441)/A441</f>
        <v>65.148063781321184</v>
      </c>
    </row>
    <row r="442" spans="1:3" x14ac:dyDescent="0.2">
      <c r="A442">
        <v>440</v>
      </c>
      <c r="B442">
        <f t="shared" si="7"/>
        <v>0</v>
      </c>
      <c r="C442">
        <f>SUM($B$2:B442)/A442</f>
        <v>65</v>
      </c>
    </row>
    <row r="443" spans="1:3" x14ac:dyDescent="0.2">
      <c r="A443">
        <v>441</v>
      </c>
      <c r="B443">
        <f t="shared" si="7"/>
        <v>0</v>
      </c>
      <c r="C443">
        <f>SUM($B$2:B443)/A443</f>
        <v>64.852607709750572</v>
      </c>
    </row>
    <row r="444" spans="1:3" x14ac:dyDescent="0.2">
      <c r="A444">
        <v>442</v>
      </c>
      <c r="B444">
        <f t="shared" si="7"/>
        <v>0</v>
      </c>
      <c r="C444">
        <f>SUM($B$2:B444)/A444</f>
        <v>64.705882352941174</v>
      </c>
    </row>
    <row r="445" spans="1:3" x14ac:dyDescent="0.2">
      <c r="A445">
        <v>443</v>
      </c>
      <c r="B445">
        <f t="shared" si="7"/>
        <v>0</v>
      </c>
      <c r="C445">
        <f>SUM($B$2:B445)/A445</f>
        <v>64.559819413092555</v>
      </c>
    </row>
    <row r="446" spans="1:3" x14ac:dyDescent="0.2">
      <c r="A446">
        <v>444</v>
      </c>
      <c r="B446">
        <f t="shared" si="7"/>
        <v>0</v>
      </c>
      <c r="C446">
        <f>SUM($B$2:B446)/A446</f>
        <v>64.414414414414409</v>
      </c>
    </row>
    <row r="447" spans="1:3" x14ac:dyDescent="0.2">
      <c r="A447">
        <v>445</v>
      </c>
      <c r="B447">
        <f t="shared" si="7"/>
        <v>0</v>
      </c>
      <c r="C447">
        <f>SUM($B$2:B447)/A447</f>
        <v>64.269662921348313</v>
      </c>
    </row>
    <row r="448" spans="1:3" x14ac:dyDescent="0.2">
      <c r="A448">
        <v>446</v>
      </c>
      <c r="B448">
        <f t="shared" si="7"/>
        <v>0</v>
      </c>
      <c r="C448">
        <f>SUM($B$2:B448)/A448</f>
        <v>64.125560538116588</v>
      </c>
    </row>
    <row r="449" spans="1:3" x14ac:dyDescent="0.2">
      <c r="A449">
        <v>447</v>
      </c>
      <c r="B449">
        <f t="shared" si="7"/>
        <v>0</v>
      </c>
      <c r="C449">
        <f>SUM($B$2:B449)/A449</f>
        <v>63.982102908277405</v>
      </c>
    </row>
    <row r="450" spans="1:3" x14ac:dyDescent="0.2">
      <c r="A450">
        <v>448</v>
      </c>
      <c r="B450">
        <f t="shared" si="7"/>
        <v>0</v>
      </c>
      <c r="C450">
        <f>SUM($B$2:B450)/A450</f>
        <v>63.839285714285715</v>
      </c>
    </row>
    <row r="451" spans="1:3" x14ac:dyDescent="0.2">
      <c r="A451">
        <v>449</v>
      </c>
      <c r="B451">
        <f t="shared" si="7"/>
        <v>0</v>
      </c>
      <c r="C451">
        <f>SUM($B$2:B451)/A451</f>
        <v>63.697104677060132</v>
      </c>
    </row>
    <row r="452" spans="1:3" x14ac:dyDescent="0.2">
      <c r="A452">
        <v>450</v>
      </c>
      <c r="B452">
        <f t="shared" si="7"/>
        <v>0</v>
      </c>
      <c r="C452">
        <f>SUM($B$2:B452)/A452</f>
        <v>63.555555555555557</v>
      </c>
    </row>
    <row r="453" spans="1:3" x14ac:dyDescent="0.2">
      <c r="A453">
        <v>451</v>
      </c>
      <c r="B453">
        <f t="shared" ref="B453:B516" si="8">IF((A452-IF(A452+1/120&gt;1,ROUNDDOWN(A452/120,0)*120,0))/20&lt;1,ROUNDDOWN((A452-120*ROUNDDOWN(A452/120,0))/2,0)*65+65,0)</f>
        <v>0</v>
      </c>
      <c r="C453">
        <f>SUM($B$2:B453)/A453</f>
        <v>63.414634146341463</v>
      </c>
    </row>
    <row r="454" spans="1:3" x14ac:dyDescent="0.2">
      <c r="A454">
        <v>452</v>
      </c>
      <c r="B454">
        <f t="shared" si="8"/>
        <v>0</v>
      </c>
      <c r="C454">
        <f>SUM($B$2:B454)/A454</f>
        <v>63.274336283185839</v>
      </c>
    </row>
    <row r="455" spans="1:3" x14ac:dyDescent="0.2">
      <c r="A455">
        <v>453</v>
      </c>
      <c r="B455">
        <f t="shared" si="8"/>
        <v>0</v>
      </c>
      <c r="C455">
        <f>SUM($B$2:B455)/A455</f>
        <v>63.134657836644593</v>
      </c>
    </row>
    <row r="456" spans="1:3" x14ac:dyDescent="0.2">
      <c r="A456">
        <v>454</v>
      </c>
      <c r="B456">
        <f t="shared" si="8"/>
        <v>0</v>
      </c>
      <c r="C456">
        <f>SUM($B$2:B456)/A456</f>
        <v>62.995594713656388</v>
      </c>
    </row>
    <row r="457" spans="1:3" x14ac:dyDescent="0.2">
      <c r="A457">
        <v>455</v>
      </c>
      <c r="B457">
        <f t="shared" si="8"/>
        <v>0</v>
      </c>
      <c r="C457">
        <f>SUM($B$2:B457)/A457</f>
        <v>62.857142857142854</v>
      </c>
    </row>
    <row r="458" spans="1:3" x14ac:dyDescent="0.2">
      <c r="A458">
        <v>456</v>
      </c>
      <c r="B458">
        <f t="shared" si="8"/>
        <v>0</v>
      </c>
      <c r="C458">
        <f>SUM($B$2:B458)/A458</f>
        <v>62.719298245614034</v>
      </c>
    </row>
    <row r="459" spans="1:3" x14ac:dyDescent="0.2">
      <c r="A459">
        <v>457</v>
      </c>
      <c r="B459">
        <f t="shared" si="8"/>
        <v>0</v>
      </c>
      <c r="C459">
        <f>SUM($B$2:B459)/A459</f>
        <v>62.582056892778994</v>
      </c>
    </row>
    <row r="460" spans="1:3" x14ac:dyDescent="0.2">
      <c r="A460">
        <v>458</v>
      </c>
      <c r="B460">
        <f t="shared" si="8"/>
        <v>0</v>
      </c>
      <c r="C460">
        <f>SUM($B$2:B460)/A460</f>
        <v>62.445414847161572</v>
      </c>
    </row>
    <row r="461" spans="1:3" x14ac:dyDescent="0.2">
      <c r="A461">
        <v>459</v>
      </c>
      <c r="B461">
        <f t="shared" si="8"/>
        <v>0</v>
      </c>
      <c r="C461">
        <f>SUM($B$2:B461)/A461</f>
        <v>62.309368191721134</v>
      </c>
    </row>
    <row r="462" spans="1:3" x14ac:dyDescent="0.2">
      <c r="A462">
        <v>460</v>
      </c>
      <c r="B462">
        <f t="shared" si="8"/>
        <v>0</v>
      </c>
      <c r="C462">
        <f>SUM($B$2:B462)/A462</f>
        <v>62.173913043478258</v>
      </c>
    </row>
    <row r="463" spans="1:3" x14ac:dyDescent="0.2">
      <c r="A463">
        <v>461</v>
      </c>
      <c r="B463">
        <f t="shared" si="8"/>
        <v>0</v>
      </c>
      <c r="C463">
        <f>SUM($B$2:B463)/A463</f>
        <v>62.039045553145336</v>
      </c>
    </row>
    <row r="464" spans="1:3" x14ac:dyDescent="0.2">
      <c r="A464">
        <v>462</v>
      </c>
      <c r="B464">
        <f t="shared" si="8"/>
        <v>0</v>
      </c>
      <c r="C464">
        <f>SUM($B$2:B464)/A464</f>
        <v>61.904761904761905</v>
      </c>
    </row>
    <row r="465" spans="1:3" x14ac:dyDescent="0.2">
      <c r="A465">
        <v>463</v>
      </c>
      <c r="B465">
        <f t="shared" si="8"/>
        <v>0</v>
      </c>
      <c r="C465">
        <f>SUM($B$2:B465)/A465</f>
        <v>61.77105831533477</v>
      </c>
    </row>
    <row r="466" spans="1:3" x14ac:dyDescent="0.2">
      <c r="A466">
        <v>464</v>
      </c>
      <c r="B466">
        <f t="shared" si="8"/>
        <v>0</v>
      </c>
      <c r="C466">
        <f>SUM($B$2:B466)/A466</f>
        <v>61.637931034482762</v>
      </c>
    </row>
    <row r="467" spans="1:3" x14ac:dyDescent="0.2">
      <c r="A467">
        <v>465</v>
      </c>
      <c r="B467">
        <f t="shared" si="8"/>
        <v>0</v>
      </c>
      <c r="C467">
        <f>SUM($B$2:B467)/A467</f>
        <v>61.505376344086024</v>
      </c>
    </row>
    <row r="468" spans="1:3" x14ac:dyDescent="0.2">
      <c r="A468">
        <v>466</v>
      </c>
      <c r="B468">
        <f t="shared" si="8"/>
        <v>0</v>
      </c>
      <c r="C468">
        <f>SUM($B$2:B468)/A468</f>
        <v>61.373390557939913</v>
      </c>
    </row>
    <row r="469" spans="1:3" x14ac:dyDescent="0.2">
      <c r="A469">
        <v>467</v>
      </c>
      <c r="B469">
        <f t="shared" si="8"/>
        <v>0</v>
      </c>
      <c r="C469">
        <f>SUM($B$2:B469)/A469</f>
        <v>61.241970021413273</v>
      </c>
    </row>
    <row r="470" spans="1:3" x14ac:dyDescent="0.2">
      <c r="A470">
        <v>468</v>
      </c>
      <c r="B470">
        <f t="shared" si="8"/>
        <v>0</v>
      </c>
      <c r="C470">
        <f>SUM($B$2:B470)/A470</f>
        <v>61.111111111111114</v>
      </c>
    </row>
    <row r="471" spans="1:3" x14ac:dyDescent="0.2">
      <c r="A471">
        <v>469</v>
      </c>
      <c r="B471">
        <f t="shared" si="8"/>
        <v>0</v>
      </c>
      <c r="C471">
        <f>SUM($B$2:B471)/A471</f>
        <v>60.980810234541579</v>
      </c>
    </row>
    <row r="472" spans="1:3" x14ac:dyDescent="0.2">
      <c r="A472">
        <v>470</v>
      </c>
      <c r="B472">
        <f t="shared" si="8"/>
        <v>0</v>
      </c>
      <c r="C472">
        <f>SUM($B$2:B472)/A472</f>
        <v>60.851063829787236</v>
      </c>
    </row>
    <row r="473" spans="1:3" x14ac:dyDescent="0.2">
      <c r="A473">
        <v>471</v>
      </c>
      <c r="B473">
        <f t="shared" si="8"/>
        <v>0</v>
      </c>
      <c r="C473">
        <f>SUM($B$2:B473)/A473</f>
        <v>60.72186836518047</v>
      </c>
    </row>
    <row r="474" spans="1:3" x14ac:dyDescent="0.2">
      <c r="A474">
        <v>472</v>
      </c>
      <c r="B474">
        <f t="shared" si="8"/>
        <v>0</v>
      </c>
      <c r="C474">
        <f>SUM($B$2:B474)/A474</f>
        <v>60.593220338983052</v>
      </c>
    </row>
    <row r="475" spans="1:3" x14ac:dyDescent="0.2">
      <c r="A475">
        <v>473</v>
      </c>
      <c r="B475">
        <f t="shared" si="8"/>
        <v>0</v>
      </c>
      <c r="C475">
        <f>SUM($B$2:B475)/A475</f>
        <v>60.465116279069768</v>
      </c>
    </row>
    <row r="476" spans="1:3" x14ac:dyDescent="0.2">
      <c r="A476">
        <v>474</v>
      </c>
      <c r="B476">
        <f t="shared" si="8"/>
        <v>0</v>
      </c>
      <c r="C476">
        <f>SUM($B$2:B476)/A476</f>
        <v>60.337552742616033</v>
      </c>
    </row>
    <row r="477" spans="1:3" x14ac:dyDescent="0.2">
      <c r="A477">
        <v>475</v>
      </c>
      <c r="B477">
        <f t="shared" si="8"/>
        <v>0</v>
      </c>
      <c r="C477">
        <f>SUM($B$2:B477)/A477</f>
        <v>60.210526315789473</v>
      </c>
    </row>
    <row r="478" spans="1:3" x14ac:dyDescent="0.2">
      <c r="A478">
        <v>476</v>
      </c>
      <c r="B478">
        <f t="shared" si="8"/>
        <v>0</v>
      </c>
      <c r="C478">
        <f>SUM($B$2:B478)/A478</f>
        <v>60.084033613445378</v>
      </c>
    </row>
    <row r="479" spans="1:3" x14ac:dyDescent="0.2">
      <c r="A479">
        <v>477</v>
      </c>
      <c r="B479">
        <f t="shared" si="8"/>
        <v>0</v>
      </c>
      <c r="C479">
        <f>SUM($B$2:B479)/A479</f>
        <v>59.958071278825997</v>
      </c>
    </row>
    <row r="480" spans="1:3" x14ac:dyDescent="0.2">
      <c r="A480">
        <v>478</v>
      </c>
      <c r="B480">
        <f t="shared" si="8"/>
        <v>0</v>
      </c>
      <c r="C480">
        <f>SUM($B$2:B480)/A480</f>
        <v>59.8326359832636</v>
      </c>
    </row>
    <row r="481" spans="1:3" x14ac:dyDescent="0.2">
      <c r="A481">
        <v>479</v>
      </c>
      <c r="B481">
        <f t="shared" si="8"/>
        <v>0</v>
      </c>
      <c r="C481">
        <f>SUM($B$2:B481)/A481</f>
        <v>59.707724425887264</v>
      </c>
    </row>
    <row r="482" spans="1:3" x14ac:dyDescent="0.2">
      <c r="A482">
        <v>480</v>
      </c>
      <c r="B482">
        <f t="shared" si="8"/>
        <v>0</v>
      </c>
      <c r="C482">
        <f>SUM($B$2:B482)/A482</f>
        <v>59.583333333333336</v>
      </c>
    </row>
    <row r="483" spans="1:3" x14ac:dyDescent="0.2">
      <c r="A483">
        <v>481</v>
      </c>
      <c r="B483">
        <f t="shared" si="8"/>
        <v>65</v>
      </c>
      <c r="C483">
        <f>SUM($B$2:B483)/A483</f>
        <v>59.594594594594597</v>
      </c>
    </row>
    <row r="484" spans="1:3" x14ac:dyDescent="0.2">
      <c r="A484">
        <v>482</v>
      </c>
      <c r="B484">
        <f t="shared" si="8"/>
        <v>65</v>
      </c>
      <c r="C484">
        <f>SUM($B$2:B484)/A484</f>
        <v>59.605809128630703</v>
      </c>
    </row>
    <row r="485" spans="1:3" x14ac:dyDescent="0.2">
      <c r="A485">
        <v>483</v>
      </c>
      <c r="B485">
        <f t="shared" si="8"/>
        <v>130</v>
      </c>
      <c r="C485">
        <f>SUM($B$2:B485)/A485</f>
        <v>59.751552795031053</v>
      </c>
    </row>
    <row r="486" spans="1:3" x14ac:dyDescent="0.2">
      <c r="A486">
        <v>484</v>
      </c>
      <c r="B486">
        <f t="shared" si="8"/>
        <v>130</v>
      </c>
      <c r="C486">
        <f>SUM($B$2:B486)/A486</f>
        <v>59.896694214876035</v>
      </c>
    </row>
    <row r="487" spans="1:3" x14ac:dyDescent="0.2">
      <c r="A487">
        <v>485</v>
      </c>
      <c r="B487">
        <f t="shared" si="8"/>
        <v>195</v>
      </c>
      <c r="C487">
        <f>SUM($B$2:B487)/A487</f>
        <v>60.175257731958766</v>
      </c>
    </row>
    <row r="488" spans="1:3" x14ac:dyDescent="0.2">
      <c r="A488">
        <v>486</v>
      </c>
      <c r="B488">
        <f t="shared" si="8"/>
        <v>195</v>
      </c>
      <c r="C488">
        <f>SUM($B$2:B488)/A488</f>
        <v>60.452674897119344</v>
      </c>
    </row>
    <row r="489" spans="1:3" x14ac:dyDescent="0.2">
      <c r="A489">
        <v>487</v>
      </c>
      <c r="B489">
        <f t="shared" si="8"/>
        <v>260</v>
      </c>
      <c r="C489">
        <f>SUM($B$2:B489)/A489</f>
        <v>60.862422997946609</v>
      </c>
    </row>
    <row r="490" spans="1:3" x14ac:dyDescent="0.2">
      <c r="A490">
        <v>488</v>
      </c>
      <c r="B490">
        <f t="shared" si="8"/>
        <v>260</v>
      </c>
      <c r="C490">
        <f>SUM($B$2:B490)/A490</f>
        <v>61.270491803278688</v>
      </c>
    </row>
    <row r="491" spans="1:3" x14ac:dyDescent="0.2">
      <c r="A491">
        <v>489</v>
      </c>
      <c r="B491">
        <f t="shared" si="8"/>
        <v>325</v>
      </c>
      <c r="C491">
        <f>SUM($B$2:B491)/A491</f>
        <v>61.809815950920246</v>
      </c>
    </row>
    <row r="492" spans="1:3" x14ac:dyDescent="0.2">
      <c r="A492">
        <v>490</v>
      </c>
      <c r="B492">
        <f t="shared" si="8"/>
        <v>325</v>
      </c>
      <c r="C492">
        <f>SUM($B$2:B492)/A492</f>
        <v>62.346938775510203</v>
      </c>
    </row>
    <row r="493" spans="1:3" x14ac:dyDescent="0.2">
      <c r="A493">
        <v>491</v>
      </c>
      <c r="B493">
        <f t="shared" si="8"/>
        <v>390</v>
      </c>
      <c r="C493">
        <f>SUM($B$2:B493)/A493</f>
        <v>63.014256619144604</v>
      </c>
    </row>
    <row r="494" spans="1:3" x14ac:dyDescent="0.2">
      <c r="A494">
        <v>492</v>
      </c>
      <c r="B494">
        <f t="shared" si="8"/>
        <v>390</v>
      </c>
      <c r="C494">
        <f>SUM($B$2:B494)/A494</f>
        <v>63.678861788617887</v>
      </c>
    </row>
    <row r="495" spans="1:3" x14ac:dyDescent="0.2">
      <c r="A495">
        <v>493</v>
      </c>
      <c r="B495">
        <f t="shared" si="8"/>
        <v>455</v>
      </c>
      <c r="C495">
        <f>SUM($B$2:B495)/A495</f>
        <v>64.472616632860039</v>
      </c>
    </row>
    <row r="496" spans="1:3" x14ac:dyDescent="0.2">
      <c r="A496">
        <v>494</v>
      </c>
      <c r="B496">
        <f t="shared" si="8"/>
        <v>455</v>
      </c>
      <c r="C496">
        <f>SUM($B$2:B496)/A496</f>
        <v>65.263157894736835</v>
      </c>
    </row>
    <row r="497" spans="1:3" x14ac:dyDescent="0.2">
      <c r="A497">
        <v>495</v>
      </c>
      <c r="B497">
        <f t="shared" si="8"/>
        <v>520</v>
      </c>
      <c r="C497">
        <f>SUM($B$2:B497)/A497</f>
        <v>66.181818181818187</v>
      </c>
    </row>
    <row r="498" spans="1:3" x14ac:dyDescent="0.2">
      <c r="A498">
        <v>496</v>
      </c>
      <c r="B498">
        <f t="shared" si="8"/>
        <v>520</v>
      </c>
      <c r="C498">
        <f>SUM($B$2:B498)/A498</f>
        <v>67.096774193548384</v>
      </c>
    </row>
    <row r="499" spans="1:3" x14ac:dyDescent="0.2">
      <c r="A499">
        <v>497</v>
      </c>
      <c r="B499">
        <f t="shared" si="8"/>
        <v>585</v>
      </c>
      <c r="C499">
        <f>SUM($B$2:B499)/A499</f>
        <v>68.138832997987933</v>
      </c>
    </row>
    <row r="500" spans="1:3" x14ac:dyDescent="0.2">
      <c r="A500">
        <v>498</v>
      </c>
      <c r="B500">
        <f t="shared" si="8"/>
        <v>585</v>
      </c>
      <c r="C500">
        <f>SUM($B$2:B500)/A500</f>
        <v>69.176706827309232</v>
      </c>
    </row>
    <row r="501" spans="1:3" x14ac:dyDescent="0.2">
      <c r="A501">
        <v>499</v>
      </c>
      <c r="B501">
        <f t="shared" si="8"/>
        <v>650</v>
      </c>
      <c r="C501">
        <f>SUM($B$2:B501)/A501</f>
        <v>70.340681362725448</v>
      </c>
    </row>
    <row r="502" spans="1:3" x14ac:dyDescent="0.2">
      <c r="A502">
        <v>500</v>
      </c>
      <c r="B502">
        <f t="shared" si="8"/>
        <v>650</v>
      </c>
      <c r="C502">
        <f>SUM($B$2:B502)/A502</f>
        <v>71.5</v>
      </c>
    </row>
    <row r="503" spans="1:3" x14ac:dyDescent="0.2">
      <c r="A503">
        <v>501</v>
      </c>
      <c r="B503">
        <f t="shared" si="8"/>
        <v>0</v>
      </c>
      <c r="C503">
        <f>SUM($B$2:B503)/A503</f>
        <v>71.357285429141712</v>
      </c>
    </row>
    <row r="504" spans="1:3" x14ac:dyDescent="0.2">
      <c r="A504">
        <v>502</v>
      </c>
      <c r="B504">
        <f t="shared" si="8"/>
        <v>0</v>
      </c>
      <c r="C504">
        <f>SUM($B$2:B504)/A504</f>
        <v>71.215139442231077</v>
      </c>
    </row>
    <row r="505" spans="1:3" x14ac:dyDescent="0.2">
      <c r="A505">
        <v>503</v>
      </c>
      <c r="B505">
        <f t="shared" si="8"/>
        <v>0</v>
      </c>
      <c r="C505">
        <f>SUM($B$2:B505)/A505</f>
        <v>71.07355864811133</v>
      </c>
    </row>
    <row r="506" spans="1:3" x14ac:dyDescent="0.2">
      <c r="A506">
        <v>504</v>
      </c>
      <c r="B506">
        <f t="shared" si="8"/>
        <v>0</v>
      </c>
      <c r="C506">
        <f>SUM($B$2:B506)/A506</f>
        <v>70.932539682539684</v>
      </c>
    </row>
    <row r="507" spans="1:3" x14ac:dyDescent="0.2">
      <c r="A507">
        <v>505</v>
      </c>
      <c r="B507">
        <f t="shared" si="8"/>
        <v>0</v>
      </c>
      <c r="C507">
        <f>SUM($B$2:B507)/A507</f>
        <v>70.792079207920793</v>
      </c>
    </row>
    <row r="508" spans="1:3" x14ac:dyDescent="0.2">
      <c r="A508">
        <v>506</v>
      </c>
      <c r="B508">
        <f t="shared" si="8"/>
        <v>0</v>
      </c>
      <c r="C508">
        <f>SUM($B$2:B508)/A508</f>
        <v>70.652173913043484</v>
      </c>
    </row>
    <row r="509" spans="1:3" x14ac:dyDescent="0.2">
      <c r="A509">
        <v>507</v>
      </c>
      <c r="B509">
        <f t="shared" si="8"/>
        <v>0</v>
      </c>
      <c r="C509">
        <f>SUM($B$2:B509)/A509</f>
        <v>70.512820512820511</v>
      </c>
    </row>
    <row r="510" spans="1:3" x14ac:dyDescent="0.2">
      <c r="A510">
        <v>508</v>
      </c>
      <c r="B510">
        <f t="shared" si="8"/>
        <v>0</v>
      </c>
      <c r="C510">
        <f>SUM($B$2:B510)/A510</f>
        <v>70.374015748031496</v>
      </c>
    </row>
    <row r="511" spans="1:3" x14ac:dyDescent="0.2">
      <c r="A511">
        <v>509</v>
      </c>
      <c r="B511">
        <f t="shared" si="8"/>
        <v>0</v>
      </c>
      <c r="C511">
        <f>SUM($B$2:B511)/A511</f>
        <v>70.235756385068768</v>
      </c>
    </row>
    <row r="512" spans="1:3" x14ac:dyDescent="0.2">
      <c r="A512">
        <v>510</v>
      </c>
      <c r="B512">
        <f t="shared" si="8"/>
        <v>0</v>
      </c>
      <c r="C512">
        <f>SUM($B$2:B512)/A512</f>
        <v>70.098039215686271</v>
      </c>
    </row>
    <row r="513" spans="1:3" x14ac:dyDescent="0.2">
      <c r="A513">
        <v>511</v>
      </c>
      <c r="B513">
        <f t="shared" si="8"/>
        <v>0</v>
      </c>
      <c r="C513">
        <f>SUM($B$2:B513)/A513</f>
        <v>69.960861056751469</v>
      </c>
    </row>
    <row r="514" spans="1:3" x14ac:dyDescent="0.2">
      <c r="A514">
        <v>512</v>
      </c>
      <c r="B514">
        <f t="shared" si="8"/>
        <v>0</v>
      </c>
      <c r="C514">
        <f>SUM($B$2:B514)/A514</f>
        <v>69.82421875</v>
      </c>
    </row>
    <row r="515" spans="1:3" x14ac:dyDescent="0.2">
      <c r="A515">
        <v>513</v>
      </c>
      <c r="B515">
        <f t="shared" si="8"/>
        <v>0</v>
      </c>
      <c r="C515">
        <f>SUM($B$2:B515)/A515</f>
        <v>69.688109161793378</v>
      </c>
    </row>
    <row r="516" spans="1:3" x14ac:dyDescent="0.2">
      <c r="A516">
        <v>514</v>
      </c>
      <c r="B516">
        <f t="shared" si="8"/>
        <v>0</v>
      </c>
      <c r="C516">
        <f>SUM($B$2:B516)/A516</f>
        <v>69.552529182879383</v>
      </c>
    </row>
    <row r="517" spans="1:3" x14ac:dyDescent="0.2">
      <c r="A517">
        <v>515</v>
      </c>
      <c r="B517">
        <f t="shared" ref="B517:B580" si="9">IF((A516-IF(A516+1/120&gt;1,ROUNDDOWN(A516/120,0)*120,0))/20&lt;1,ROUNDDOWN((A516-120*ROUNDDOWN(A516/120,0))/2,0)*65+65,0)</f>
        <v>0</v>
      </c>
      <c r="C517">
        <f>SUM($B$2:B517)/A517</f>
        <v>69.417475728155338</v>
      </c>
    </row>
    <row r="518" spans="1:3" x14ac:dyDescent="0.2">
      <c r="A518">
        <v>516</v>
      </c>
      <c r="B518">
        <f t="shared" si="9"/>
        <v>0</v>
      </c>
      <c r="C518">
        <f>SUM($B$2:B518)/A518</f>
        <v>69.282945736434115</v>
      </c>
    </row>
    <row r="519" spans="1:3" x14ac:dyDescent="0.2">
      <c r="A519">
        <v>517</v>
      </c>
      <c r="B519">
        <f t="shared" si="9"/>
        <v>0</v>
      </c>
      <c r="C519">
        <f>SUM($B$2:B519)/A519</f>
        <v>69.148936170212764</v>
      </c>
    </row>
    <row r="520" spans="1:3" x14ac:dyDescent="0.2">
      <c r="A520">
        <v>518</v>
      </c>
      <c r="B520">
        <f t="shared" si="9"/>
        <v>0</v>
      </c>
      <c r="C520">
        <f>SUM($B$2:B520)/A520</f>
        <v>69.015444015444018</v>
      </c>
    </row>
    <row r="521" spans="1:3" x14ac:dyDescent="0.2">
      <c r="A521">
        <v>519</v>
      </c>
      <c r="B521">
        <f t="shared" si="9"/>
        <v>0</v>
      </c>
      <c r="C521">
        <f>SUM($B$2:B521)/A521</f>
        <v>68.882466281310215</v>
      </c>
    </row>
    <row r="522" spans="1:3" x14ac:dyDescent="0.2">
      <c r="A522">
        <v>520</v>
      </c>
      <c r="B522">
        <f t="shared" si="9"/>
        <v>0</v>
      </c>
      <c r="C522">
        <f>SUM($B$2:B522)/A522</f>
        <v>68.75</v>
      </c>
    </row>
    <row r="523" spans="1:3" x14ac:dyDescent="0.2">
      <c r="A523">
        <v>521</v>
      </c>
      <c r="B523">
        <f t="shared" si="9"/>
        <v>0</v>
      </c>
      <c r="C523">
        <f>SUM($B$2:B523)/A523</f>
        <v>68.618042226487518</v>
      </c>
    </row>
    <row r="524" spans="1:3" x14ac:dyDescent="0.2">
      <c r="A524">
        <v>522</v>
      </c>
      <c r="B524">
        <f t="shared" si="9"/>
        <v>0</v>
      </c>
      <c r="C524">
        <f>SUM($B$2:B524)/A524</f>
        <v>68.486590038314176</v>
      </c>
    </row>
    <row r="525" spans="1:3" x14ac:dyDescent="0.2">
      <c r="A525">
        <v>523</v>
      </c>
      <c r="B525">
        <f t="shared" si="9"/>
        <v>0</v>
      </c>
      <c r="C525">
        <f>SUM($B$2:B525)/A525</f>
        <v>68.355640535372842</v>
      </c>
    </row>
    <row r="526" spans="1:3" x14ac:dyDescent="0.2">
      <c r="A526">
        <v>524</v>
      </c>
      <c r="B526">
        <f t="shared" si="9"/>
        <v>0</v>
      </c>
      <c r="C526">
        <f>SUM($B$2:B526)/A526</f>
        <v>68.225190839694662</v>
      </c>
    </row>
    <row r="527" spans="1:3" x14ac:dyDescent="0.2">
      <c r="A527">
        <v>525</v>
      </c>
      <c r="B527">
        <f t="shared" si="9"/>
        <v>0</v>
      </c>
      <c r="C527">
        <f>SUM($B$2:B527)/A527</f>
        <v>68.095238095238102</v>
      </c>
    </row>
    <row r="528" spans="1:3" x14ac:dyDescent="0.2">
      <c r="A528">
        <v>526</v>
      </c>
      <c r="B528">
        <f t="shared" si="9"/>
        <v>0</v>
      </c>
      <c r="C528">
        <f>SUM($B$2:B528)/A528</f>
        <v>67.965779467680605</v>
      </c>
    </row>
    <row r="529" spans="1:3" x14ac:dyDescent="0.2">
      <c r="A529">
        <v>527</v>
      </c>
      <c r="B529">
        <f t="shared" si="9"/>
        <v>0</v>
      </c>
      <c r="C529">
        <f>SUM($B$2:B529)/A529</f>
        <v>67.83681214421253</v>
      </c>
    </row>
    <row r="530" spans="1:3" x14ac:dyDescent="0.2">
      <c r="A530">
        <v>528</v>
      </c>
      <c r="B530">
        <f t="shared" si="9"/>
        <v>0</v>
      </c>
      <c r="C530">
        <f>SUM($B$2:B530)/A530</f>
        <v>67.708333333333329</v>
      </c>
    </row>
    <row r="531" spans="1:3" x14ac:dyDescent="0.2">
      <c r="A531">
        <v>529</v>
      </c>
      <c r="B531">
        <f t="shared" si="9"/>
        <v>0</v>
      </c>
      <c r="C531">
        <f>SUM($B$2:B531)/A531</f>
        <v>67.580340264650289</v>
      </c>
    </row>
    <row r="532" spans="1:3" x14ac:dyDescent="0.2">
      <c r="A532">
        <v>530</v>
      </c>
      <c r="B532">
        <f t="shared" si="9"/>
        <v>0</v>
      </c>
      <c r="C532">
        <f>SUM($B$2:B532)/A532</f>
        <v>67.452830188679243</v>
      </c>
    </row>
    <row r="533" spans="1:3" x14ac:dyDescent="0.2">
      <c r="A533">
        <v>531</v>
      </c>
      <c r="B533">
        <f t="shared" si="9"/>
        <v>0</v>
      </c>
      <c r="C533">
        <f>SUM($B$2:B533)/A533</f>
        <v>67.325800376647834</v>
      </c>
    </row>
    <row r="534" spans="1:3" x14ac:dyDescent="0.2">
      <c r="A534">
        <v>532</v>
      </c>
      <c r="B534">
        <f t="shared" si="9"/>
        <v>0</v>
      </c>
      <c r="C534">
        <f>SUM($B$2:B534)/A534</f>
        <v>67.199248120300751</v>
      </c>
    </row>
    <row r="535" spans="1:3" x14ac:dyDescent="0.2">
      <c r="A535">
        <v>533</v>
      </c>
      <c r="B535">
        <f t="shared" si="9"/>
        <v>0</v>
      </c>
      <c r="C535">
        <f>SUM($B$2:B535)/A535</f>
        <v>67.073170731707322</v>
      </c>
    </row>
    <row r="536" spans="1:3" x14ac:dyDescent="0.2">
      <c r="A536">
        <v>534</v>
      </c>
      <c r="B536">
        <f t="shared" si="9"/>
        <v>0</v>
      </c>
      <c r="C536">
        <f>SUM($B$2:B536)/A536</f>
        <v>66.947565543071164</v>
      </c>
    </row>
    <row r="537" spans="1:3" x14ac:dyDescent="0.2">
      <c r="A537">
        <v>535</v>
      </c>
      <c r="B537">
        <f t="shared" si="9"/>
        <v>0</v>
      </c>
      <c r="C537">
        <f>SUM($B$2:B537)/A537</f>
        <v>66.822429906542055</v>
      </c>
    </row>
    <row r="538" spans="1:3" x14ac:dyDescent="0.2">
      <c r="A538">
        <v>536</v>
      </c>
      <c r="B538">
        <f t="shared" si="9"/>
        <v>0</v>
      </c>
      <c r="C538">
        <f>SUM($B$2:B538)/A538</f>
        <v>66.697761194029852</v>
      </c>
    </row>
    <row r="539" spans="1:3" x14ac:dyDescent="0.2">
      <c r="A539">
        <v>537</v>
      </c>
      <c r="B539">
        <f t="shared" si="9"/>
        <v>0</v>
      </c>
      <c r="C539">
        <f>SUM($B$2:B539)/A539</f>
        <v>66.573556797020487</v>
      </c>
    </row>
    <row r="540" spans="1:3" x14ac:dyDescent="0.2">
      <c r="A540">
        <v>538</v>
      </c>
      <c r="B540">
        <f t="shared" si="9"/>
        <v>0</v>
      </c>
      <c r="C540">
        <f>SUM($B$2:B540)/A540</f>
        <v>66.449814126394045</v>
      </c>
    </row>
    <row r="541" spans="1:3" x14ac:dyDescent="0.2">
      <c r="A541">
        <v>539</v>
      </c>
      <c r="B541">
        <f t="shared" si="9"/>
        <v>0</v>
      </c>
      <c r="C541">
        <f>SUM($B$2:B541)/A541</f>
        <v>66.326530612244895</v>
      </c>
    </row>
    <row r="542" spans="1:3" x14ac:dyDescent="0.2">
      <c r="A542">
        <v>540</v>
      </c>
      <c r="B542">
        <f t="shared" si="9"/>
        <v>0</v>
      </c>
      <c r="C542">
        <f>SUM($B$2:B542)/A542</f>
        <v>66.203703703703709</v>
      </c>
    </row>
    <row r="543" spans="1:3" x14ac:dyDescent="0.2">
      <c r="A543">
        <v>541</v>
      </c>
      <c r="B543">
        <f t="shared" si="9"/>
        <v>0</v>
      </c>
      <c r="C543">
        <f>SUM($B$2:B543)/A543</f>
        <v>66.081330868761555</v>
      </c>
    </row>
    <row r="544" spans="1:3" x14ac:dyDescent="0.2">
      <c r="A544">
        <v>542</v>
      </c>
      <c r="B544">
        <f t="shared" si="9"/>
        <v>0</v>
      </c>
      <c r="C544">
        <f>SUM($B$2:B544)/A544</f>
        <v>65.959409594095945</v>
      </c>
    </row>
    <row r="545" spans="1:3" x14ac:dyDescent="0.2">
      <c r="A545">
        <v>543</v>
      </c>
      <c r="B545">
        <f t="shared" si="9"/>
        <v>0</v>
      </c>
      <c r="C545">
        <f>SUM($B$2:B545)/A545</f>
        <v>65.837937384898709</v>
      </c>
    </row>
    <row r="546" spans="1:3" x14ac:dyDescent="0.2">
      <c r="A546">
        <v>544</v>
      </c>
      <c r="B546">
        <f t="shared" si="9"/>
        <v>0</v>
      </c>
      <c r="C546">
        <f>SUM($B$2:B546)/A546</f>
        <v>65.716911764705884</v>
      </c>
    </row>
    <row r="547" spans="1:3" x14ac:dyDescent="0.2">
      <c r="A547">
        <v>545</v>
      </c>
      <c r="B547">
        <f t="shared" si="9"/>
        <v>0</v>
      </c>
      <c r="C547">
        <f>SUM($B$2:B547)/A547</f>
        <v>65.596330275229363</v>
      </c>
    </row>
    <row r="548" spans="1:3" x14ac:dyDescent="0.2">
      <c r="A548">
        <v>546</v>
      </c>
      <c r="B548">
        <f t="shared" si="9"/>
        <v>0</v>
      </c>
      <c r="C548">
        <f>SUM($B$2:B548)/A548</f>
        <v>65.476190476190482</v>
      </c>
    </row>
    <row r="549" spans="1:3" x14ac:dyDescent="0.2">
      <c r="A549">
        <v>547</v>
      </c>
      <c r="B549">
        <f t="shared" si="9"/>
        <v>0</v>
      </c>
      <c r="C549">
        <f>SUM($B$2:B549)/A549</f>
        <v>65.356489945155388</v>
      </c>
    </row>
    <row r="550" spans="1:3" x14ac:dyDescent="0.2">
      <c r="A550">
        <v>548</v>
      </c>
      <c r="B550">
        <f t="shared" si="9"/>
        <v>0</v>
      </c>
      <c r="C550">
        <f>SUM($B$2:B550)/A550</f>
        <v>65.237226277372258</v>
      </c>
    </row>
    <row r="551" spans="1:3" x14ac:dyDescent="0.2">
      <c r="A551">
        <v>549</v>
      </c>
      <c r="B551">
        <f t="shared" si="9"/>
        <v>0</v>
      </c>
      <c r="C551">
        <f>SUM($B$2:B551)/A551</f>
        <v>65.118397085610198</v>
      </c>
    </row>
    <row r="552" spans="1:3" x14ac:dyDescent="0.2">
      <c r="A552">
        <v>550</v>
      </c>
      <c r="B552">
        <f t="shared" si="9"/>
        <v>0</v>
      </c>
      <c r="C552">
        <f>SUM($B$2:B552)/A552</f>
        <v>65</v>
      </c>
    </row>
    <row r="553" spans="1:3" x14ac:dyDescent="0.2">
      <c r="A553">
        <v>551</v>
      </c>
      <c r="B553">
        <f t="shared" si="9"/>
        <v>0</v>
      </c>
      <c r="C553">
        <f>SUM($B$2:B553)/A553</f>
        <v>64.882032667876587</v>
      </c>
    </row>
    <row r="554" spans="1:3" x14ac:dyDescent="0.2">
      <c r="A554">
        <v>552</v>
      </c>
      <c r="B554">
        <f t="shared" si="9"/>
        <v>0</v>
      </c>
      <c r="C554">
        <f>SUM($B$2:B554)/A554</f>
        <v>64.764492753623188</v>
      </c>
    </row>
    <row r="555" spans="1:3" x14ac:dyDescent="0.2">
      <c r="A555">
        <v>553</v>
      </c>
      <c r="B555">
        <f t="shared" si="9"/>
        <v>0</v>
      </c>
      <c r="C555">
        <f>SUM($B$2:B555)/A555</f>
        <v>64.647377938517181</v>
      </c>
    </row>
    <row r="556" spans="1:3" x14ac:dyDescent="0.2">
      <c r="A556">
        <v>554</v>
      </c>
      <c r="B556">
        <f t="shared" si="9"/>
        <v>0</v>
      </c>
      <c r="C556">
        <f>SUM($B$2:B556)/A556</f>
        <v>64.530685920577611</v>
      </c>
    </row>
    <row r="557" spans="1:3" x14ac:dyDescent="0.2">
      <c r="A557">
        <v>555</v>
      </c>
      <c r="B557">
        <f t="shared" si="9"/>
        <v>0</v>
      </c>
      <c r="C557">
        <f>SUM($B$2:B557)/A557</f>
        <v>64.414414414414409</v>
      </c>
    </row>
    <row r="558" spans="1:3" x14ac:dyDescent="0.2">
      <c r="A558">
        <v>556</v>
      </c>
      <c r="B558">
        <f t="shared" si="9"/>
        <v>0</v>
      </c>
      <c r="C558">
        <f>SUM($B$2:B558)/A558</f>
        <v>64.298561151079141</v>
      </c>
    </row>
    <row r="559" spans="1:3" x14ac:dyDescent="0.2">
      <c r="A559">
        <v>557</v>
      </c>
      <c r="B559">
        <f t="shared" si="9"/>
        <v>0</v>
      </c>
      <c r="C559">
        <f>SUM($B$2:B559)/A559</f>
        <v>64.18312387791741</v>
      </c>
    </row>
    <row r="560" spans="1:3" x14ac:dyDescent="0.2">
      <c r="A560">
        <v>558</v>
      </c>
      <c r="B560">
        <f t="shared" si="9"/>
        <v>0</v>
      </c>
      <c r="C560">
        <f>SUM($B$2:B560)/A560</f>
        <v>64.068100358422939</v>
      </c>
    </row>
    <row r="561" spans="1:3" x14ac:dyDescent="0.2">
      <c r="A561">
        <v>559</v>
      </c>
      <c r="B561">
        <f t="shared" si="9"/>
        <v>0</v>
      </c>
      <c r="C561">
        <f>SUM($B$2:B561)/A561</f>
        <v>63.953488372093027</v>
      </c>
    </row>
    <row r="562" spans="1:3" x14ac:dyDescent="0.2">
      <c r="A562">
        <v>560</v>
      </c>
      <c r="B562">
        <f t="shared" si="9"/>
        <v>0</v>
      </c>
      <c r="C562">
        <f>SUM($B$2:B562)/A562</f>
        <v>63.839285714285715</v>
      </c>
    </row>
    <row r="563" spans="1:3" x14ac:dyDescent="0.2">
      <c r="A563">
        <v>561</v>
      </c>
      <c r="B563">
        <f t="shared" si="9"/>
        <v>0</v>
      </c>
      <c r="C563">
        <f>SUM($B$2:B563)/A563</f>
        <v>63.725490196078432</v>
      </c>
    </row>
    <row r="564" spans="1:3" x14ac:dyDescent="0.2">
      <c r="A564">
        <v>562</v>
      </c>
      <c r="B564">
        <f t="shared" si="9"/>
        <v>0</v>
      </c>
      <c r="C564">
        <f>SUM($B$2:B564)/A564</f>
        <v>63.612099644128115</v>
      </c>
    </row>
    <row r="565" spans="1:3" x14ac:dyDescent="0.2">
      <c r="A565">
        <v>563</v>
      </c>
      <c r="B565">
        <f t="shared" si="9"/>
        <v>0</v>
      </c>
      <c r="C565">
        <f>SUM($B$2:B565)/A565</f>
        <v>63.49911190053286</v>
      </c>
    </row>
    <row r="566" spans="1:3" x14ac:dyDescent="0.2">
      <c r="A566">
        <v>564</v>
      </c>
      <c r="B566">
        <f t="shared" si="9"/>
        <v>0</v>
      </c>
      <c r="C566">
        <f>SUM($B$2:B566)/A566</f>
        <v>63.386524822695037</v>
      </c>
    </row>
    <row r="567" spans="1:3" x14ac:dyDescent="0.2">
      <c r="A567">
        <v>565</v>
      </c>
      <c r="B567">
        <f t="shared" si="9"/>
        <v>0</v>
      </c>
      <c r="C567">
        <f>SUM($B$2:B567)/A567</f>
        <v>63.274336283185839</v>
      </c>
    </row>
    <row r="568" spans="1:3" x14ac:dyDescent="0.2">
      <c r="A568">
        <v>566</v>
      </c>
      <c r="B568">
        <f t="shared" si="9"/>
        <v>0</v>
      </c>
      <c r="C568">
        <f>SUM($B$2:B568)/A568</f>
        <v>63.162544169611309</v>
      </c>
    </row>
    <row r="569" spans="1:3" x14ac:dyDescent="0.2">
      <c r="A569">
        <v>567</v>
      </c>
      <c r="B569">
        <f t="shared" si="9"/>
        <v>0</v>
      </c>
      <c r="C569">
        <f>SUM($B$2:B569)/A569</f>
        <v>63.051146384479715</v>
      </c>
    </row>
    <row r="570" spans="1:3" x14ac:dyDescent="0.2">
      <c r="A570">
        <v>568</v>
      </c>
      <c r="B570">
        <f t="shared" si="9"/>
        <v>0</v>
      </c>
      <c r="C570">
        <f>SUM($B$2:B570)/A570</f>
        <v>62.940140845070424</v>
      </c>
    </row>
    <row r="571" spans="1:3" x14ac:dyDescent="0.2">
      <c r="A571">
        <v>569</v>
      </c>
      <c r="B571">
        <f t="shared" si="9"/>
        <v>0</v>
      </c>
      <c r="C571">
        <f>SUM($B$2:B571)/A571</f>
        <v>62.829525483304039</v>
      </c>
    </row>
    <row r="572" spans="1:3" x14ac:dyDescent="0.2">
      <c r="A572">
        <v>570</v>
      </c>
      <c r="B572">
        <f t="shared" si="9"/>
        <v>0</v>
      </c>
      <c r="C572">
        <f>SUM($B$2:B572)/A572</f>
        <v>62.719298245614034</v>
      </c>
    </row>
    <row r="573" spans="1:3" x14ac:dyDescent="0.2">
      <c r="A573">
        <v>571</v>
      </c>
      <c r="B573">
        <f t="shared" si="9"/>
        <v>0</v>
      </c>
      <c r="C573">
        <f>SUM($B$2:B573)/A573</f>
        <v>62.609457092819618</v>
      </c>
    </row>
    <row r="574" spans="1:3" x14ac:dyDescent="0.2">
      <c r="A574">
        <v>572</v>
      </c>
      <c r="B574">
        <f t="shared" si="9"/>
        <v>0</v>
      </c>
      <c r="C574">
        <f>SUM($B$2:B574)/A574</f>
        <v>62.5</v>
      </c>
    </row>
    <row r="575" spans="1:3" x14ac:dyDescent="0.2">
      <c r="A575">
        <v>573</v>
      </c>
      <c r="B575">
        <f t="shared" si="9"/>
        <v>0</v>
      </c>
      <c r="C575">
        <f>SUM($B$2:B575)/A575</f>
        <v>62.390924956369986</v>
      </c>
    </row>
    <row r="576" spans="1:3" x14ac:dyDescent="0.2">
      <c r="A576">
        <v>574</v>
      </c>
      <c r="B576">
        <f t="shared" si="9"/>
        <v>0</v>
      </c>
      <c r="C576">
        <f>SUM($B$2:B576)/A576</f>
        <v>62.282229965156795</v>
      </c>
    </row>
    <row r="577" spans="1:3" x14ac:dyDescent="0.2">
      <c r="A577">
        <v>575</v>
      </c>
      <c r="B577">
        <f t="shared" si="9"/>
        <v>0</v>
      </c>
      <c r="C577">
        <f>SUM($B$2:B577)/A577</f>
        <v>62.173913043478258</v>
      </c>
    </row>
    <row r="578" spans="1:3" x14ac:dyDescent="0.2">
      <c r="A578">
        <v>576</v>
      </c>
      <c r="B578">
        <f t="shared" si="9"/>
        <v>0</v>
      </c>
      <c r="C578">
        <f>SUM($B$2:B578)/A578</f>
        <v>62.065972222222221</v>
      </c>
    </row>
    <row r="579" spans="1:3" x14ac:dyDescent="0.2">
      <c r="A579">
        <v>577</v>
      </c>
      <c r="B579">
        <f t="shared" si="9"/>
        <v>0</v>
      </c>
      <c r="C579">
        <f>SUM($B$2:B579)/A579</f>
        <v>61.958405545927207</v>
      </c>
    </row>
    <row r="580" spans="1:3" x14ac:dyDescent="0.2">
      <c r="A580">
        <v>578</v>
      </c>
      <c r="B580">
        <f t="shared" si="9"/>
        <v>0</v>
      </c>
      <c r="C580">
        <f>SUM($B$2:B580)/A580</f>
        <v>61.851211072664363</v>
      </c>
    </row>
    <row r="581" spans="1:3" x14ac:dyDescent="0.2">
      <c r="A581">
        <v>579</v>
      </c>
      <c r="B581">
        <f t="shared" ref="B581:B644" si="10">IF((A580-IF(A580+1/120&gt;1,ROUNDDOWN(A580/120,0)*120,0))/20&lt;1,ROUNDDOWN((A580-120*ROUNDDOWN(A580/120,0))/2,0)*65+65,0)</f>
        <v>0</v>
      </c>
      <c r="C581">
        <f>SUM($B$2:B581)/A581</f>
        <v>61.744386873920554</v>
      </c>
    </row>
    <row r="582" spans="1:3" x14ac:dyDescent="0.2">
      <c r="A582">
        <v>580</v>
      </c>
      <c r="B582">
        <f t="shared" si="10"/>
        <v>0</v>
      </c>
      <c r="C582">
        <f>SUM($B$2:B582)/A582</f>
        <v>61.637931034482762</v>
      </c>
    </row>
    <row r="583" spans="1:3" x14ac:dyDescent="0.2">
      <c r="A583">
        <v>581</v>
      </c>
      <c r="B583">
        <f t="shared" si="10"/>
        <v>0</v>
      </c>
      <c r="C583">
        <f>SUM($B$2:B583)/A583</f>
        <v>61.531841652323578</v>
      </c>
    </row>
    <row r="584" spans="1:3" x14ac:dyDescent="0.2">
      <c r="A584">
        <v>582</v>
      </c>
      <c r="B584">
        <f t="shared" si="10"/>
        <v>0</v>
      </c>
      <c r="C584">
        <f>SUM($B$2:B584)/A584</f>
        <v>61.426116838487971</v>
      </c>
    </row>
    <row r="585" spans="1:3" x14ac:dyDescent="0.2">
      <c r="A585">
        <v>583</v>
      </c>
      <c r="B585">
        <f t="shared" si="10"/>
        <v>0</v>
      </c>
      <c r="C585">
        <f>SUM($B$2:B585)/A585</f>
        <v>61.320754716981135</v>
      </c>
    </row>
    <row r="586" spans="1:3" x14ac:dyDescent="0.2">
      <c r="A586">
        <v>584</v>
      </c>
      <c r="B586">
        <f t="shared" si="10"/>
        <v>0</v>
      </c>
      <c r="C586">
        <f>SUM($B$2:B586)/A586</f>
        <v>61.215753424657535</v>
      </c>
    </row>
    <row r="587" spans="1:3" x14ac:dyDescent="0.2">
      <c r="A587">
        <v>585</v>
      </c>
      <c r="B587">
        <f t="shared" si="10"/>
        <v>0</v>
      </c>
      <c r="C587">
        <f>SUM($B$2:B587)/A587</f>
        <v>61.111111111111114</v>
      </c>
    </row>
    <row r="588" spans="1:3" x14ac:dyDescent="0.2">
      <c r="A588">
        <v>586</v>
      </c>
      <c r="B588">
        <f t="shared" si="10"/>
        <v>0</v>
      </c>
      <c r="C588">
        <f>SUM($B$2:B588)/A588</f>
        <v>61.00682593856655</v>
      </c>
    </row>
    <row r="589" spans="1:3" x14ac:dyDescent="0.2">
      <c r="A589">
        <v>587</v>
      </c>
      <c r="B589">
        <f t="shared" si="10"/>
        <v>0</v>
      </c>
      <c r="C589">
        <f>SUM($B$2:B589)/A589</f>
        <v>60.902896081771722</v>
      </c>
    </row>
    <row r="590" spans="1:3" x14ac:dyDescent="0.2">
      <c r="A590">
        <v>588</v>
      </c>
      <c r="B590">
        <f t="shared" si="10"/>
        <v>0</v>
      </c>
      <c r="C590">
        <f>SUM($B$2:B590)/A590</f>
        <v>60.799319727891159</v>
      </c>
    </row>
    <row r="591" spans="1:3" x14ac:dyDescent="0.2">
      <c r="A591">
        <v>589</v>
      </c>
      <c r="B591">
        <f t="shared" si="10"/>
        <v>0</v>
      </c>
      <c r="C591">
        <f>SUM($B$2:B591)/A591</f>
        <v>60.696095076400681</v>
      </c>
    </row>
    <row r="592" spans="1:3" x14ac:dyDescent="0.2">
      <c r="A592">
        <v>590</v>
      </c>
      <c r="B592">
        <f t="shared" si="10"/>
        <v>0</v>
      </c>
      <c r="C592">
        <f>SUM($B$2:B592)/A592</f>
        <v>60.593220338983052</v>
      </c>
    </row>
    <row r="593" spans="1:3" x14ac:dyDescent="0.2">
      <c r="A593">
        <v>591</v>
      </c>
      <c r="B593">
        <f t="shared" si="10"/>
        <v>0</v>
      </c>
      <c r="C593">
        <f>SUM($B$2:B593)/A593</f>
        <v>60.490693739424707</v>
      </c>
    </row>
    <row r="594" spans="1:3" x14ac:dyDescent="0.2">
      <c r="A594">
        <v>592</v>
      </c>
      <c r="B594">
        <f t="shared" si="10"/>
        <v>0</v>
      </c>
      <c r="C594">
        <f>SUM($B$2:B594)/A594</f>
        <v>60.388513513513516</v>
      </c>
    </row>
    <row r="595" spans="1:3" x14ac:dyDescent="0.2">
      <c r="A595">
        <v>593</v>
      </c>
      <c r="B595">
        <f t="shared" si="10"/>
        <v>0</v>
      </c>
      <c r="C595">
        <f>SUM($B$2:B595)/A595</f>
        <v>60.286677908937605</v>
      </c>
    </row>
    <row r="596" spans="1:3" x14ac:dyDescent="0.2">
      <c r="A596">
        <v>594</v>
      </c>
      <c r="B596">
        <f t="shared" si="10"/>
        <v>0</v>
      </c>
      <c r="C596">
        <f>SUM($B$2:B596)/A596</f>
        <v>60.185185185185183</v>
      </c>
    </row>
    <row r="597" spans="1:3" x14ac:dyDescent="0.2">
      <c r="A597">
        <v>595</v>
      </c>
      <c r="B597">
        <f t="shared" si="10"/>
        <v>0</v>
      </c>
      <c r="C597">
        <f>SUM($B$2:B597)/A597</f>
        <v>60.084033613445378</v>
      </c>
    </row>
    <row r="598" spans="1:3" x14ac:dyDescent="0.2">
      <c r="A598">
        <v>596</v>
      </c>
      <c r="B598">
        <f t="shared" si="10"/>
        <v>0</v>
      </c>
      <c r="C598">
        <f>SUM($B$2:B598)/A598</f>
        <v>59.983221476510067</v>
      </c>
    </row>
    <row r="599" spans="1:3" x14ac:dyDescent="0.2">
      <c r="A599">
        <v>597</v>
      </c>
      <c r="B599">
        <f t="shared" si="10"/>
        <v>0</v>
      </c>
      <c r="C599">
        <f>SUM($B$2:B599)/A599</f>
        <v>59.882747068676714</v>
      </c>
    </row>
    <row r="600" spans="1:3" x14ac:dyDescent="0.2">
      <c r="A600">
        <v>598</v>
      </c>
      <c r="B600">
        <f t="shared" si="10"/>
        <v>0</v>
      </c>
      <c r="C600">
        <f>SUM($B$2:B600)/A600</f>
        <v>59.782608695652172</v>
      </c>
    </row>
    <row r="601" spans="1:3" x14ac:dyDescent="0.2">
      <c r="A601">
        <v>599</v>
      </c>
      <c r="B601">
        <f t="shared" si="10"/>
        <v>0</v>
      </c>
      <c r="C601">
        <f>SUM($B$2:B601)/A601</f>
        <v>59.682804674457429</v>
      </c>
    </row>
    <row r="602" spans="1:3" x14ac:dyDescent="0.2">
      <c r="A602">
        <v>600</v>
      </c>
      <c r="B602">
        <f t="shared" si="10"/>
        <v>0</v>
      </c>
      <c r="C602">
        <f>SUM($B$2:B602)/A602</f>
        <v>59.583333333333336</v>
      </c>
    </row>
    <row r="603" spans="1:3" x14ac:dyDescent="0.2">
      <c r="A603">
        <v>601</v>
      </c>
      <c r="B603">
        <f t="shared" si="10"/>
        <v>65</v>
      </c>
      <c r="C603">
        <f>SUM($B$2:B603)/A603</f>
        <v>59.592346089850253</v>
      </c>
    </row>
    <row r="604" spans="1:3" x14ac:dyDescent="0.2">
      <c r="A604">
        <v>602</v>
      </c>
      <c r="B604">
        <f t="shared" si="10"/>
        <v>65</v>
      </c>
      <c r="C604">
        <f>SUM($B$2:B604)/A604</f>
        <v>59.601328903654483</v>
      </c>
    </row>
    <row r="605" spans="1:3" x14ac:dyDescent="0.2">
      <c r="A605">
        <v>603</v>
      </c>
      <c r="B605">
        <f t="shared" si="10"/>
        <v>130</v>
      </c>
      <c r="C605">
        <f>SUM($B$2:B605)/A605</f>
        <v>59.718076285240464</v>
      </c>
    </row>
    <row r="606" spans="1:3" x14ac:dyDescent="0.2">
      <c r="A606">
        <v>604</v>
      </c>
      <c r="B606">
        <f t="shared" si="10"/>
        <v>130</v>
      </c>
      <c r="C606">
        <f>SUM($B$2:B606)/A606</f>
        <v>59.834437086092713</v>
      </c>
    </row>
    <row r="607" spans="1:3" x14ac:dyDescent="0.2">
      <c r="A607">
        <v>605</v>
      </c>
      <c r="B607">
        <f t="shared" si="10"/>
        <v>195</v>
      </c>
      <c r="C607">
        <f>SUM($B$2:B607)/A607</f>
        <v>60.057851239669418</v>
      </c>
    </row>
    <row r="608" spans="1:3" x14ac:dyDescent="0.2">
      <c r="A608">
        <v>606</v>
      </c>
      <c r="B608">
        <f t="shared" si="10"/>
        <v>195</v>
      </c>
      <c r="C608">
        <f>SUM($B$2:B608)/A608</f>
        <v>60.28052805280528</v>
      </c>
    </row>
    <row r="609" spans="1:3" x14ac:dyDescent="0.2">
      <c r="A609">
        <v>607</v>
      </c>
      <c r="B609">
        <f t="shared" si="10"/>
        <v>260</v>
      </c>
      <c r="C609">
        <f>SUM($B$2:B609)/A609</f>
        <v>60.609555189456344</v>
      </c>
    </row>
    <row r="610" spans="1:3" x14ac:dyDescent="0.2">
      <c r="A610">
        <v>608</v>
      </c>
      <c r="B610">
        <f t="shared" si="10"/>
        <v>260</v>
      </c>
      <c r="C610">
        <f>SUM($B$2:B610)/A610</f>
        <v>60.9375</v>
      </c>
    </row>
    <row r="611" spans="1:3" x14ac:dyDescent="0.2">
      <c r="A611">
        <v>609</v>
      </c>
      <c r="B611">
        <f t="shared" si="10"/>
        <v>325</v>
      </c>
      <c r="C611">
        <f>SUM($B$2:B611)/A611</f>
        <v>61.371100164203611</v>
      </c>
    </row>
    <row r="612" spans="1:3" x14ac:dyDescent="0.2">
      <c r="A612">
        <v>610</v>
      </c>
      <c r="B612">
        <f t="shared" si="10"/>
        <v>325</v>
      </c>
      <c r="C612">
        <f>SUM($B$2:B612)/A612</f>
        <v>61.803278688524593</v>
      </c>
    </row>
    <row r="613" spans="1:3" x14ac:dyDescent="0.2">
      <c r="A613">
        <v>611</v>
      </c>
      <c r="B613">
        <f t="shared" si="10"/>
        <v>390</v>
      </c>
      <c r="C613">
        <f>SUM($B$2:B613)/A613</f>
        <v>62.340425531914896</v>
      </c>
    </row>
    <row r="614" spans="1:3" x14ac:dyDescent="0.2">
      <c r="A614">
        <v>612</v>
      </c>
      <c r="B614">
        <f t="shared" si="10"/>
        <v>390</v>
      </c>
      <c r="C614">
        <f>SUM($B$2:B614)/A614</f>
        <v>62.875816993464049</v>
      </c>
    </row>
    <row r="615" spans="1:3" x14ac:dyDescent="0.2">
      <c r="A615">
        <v>613</v>
      </c>
      <c r="B615">
        <f t="shared" si="10"/>
        <v>455</v>
      </c>
      <c r="C615">
        <f>SUM($B$2:B615)/A615</f>
        <v>63.515497553017944</v>
      </c>
    </row>
    <row r="616" spans="1:3" x14ac:dyDescent="0.2">
      <c r="A616">
        <v>614</v>
      </c>
      <c r="B616">
        <f t="shared" si="10"/>
        <v>455</v>
      </c>
      <c r="C616">
        <f>SUM($B$2:B616)/A616</f>
        <v>64.153094462540722</v>
      </c>
    </row>
    <row r="617" spans="1:3" x14ac:dyDescent="0.2">
      <c r="A617">
        <v>615</v>
      </c>
      <c r="B617">
        <f t="shared" si="10"/>
        <v>520</v>
      </c>
      <c r="C617">
        <f>SUM($B$2:B617)/A617</f>
        <v>64.894308943089428</v>
      </c>
    </row>
    <row r="618" spans="1:3" x14ac:dyDescent="0.2">
      <c r="A618">
        <v>616</v>
      </c>
      <c r="B618">
        <f t="shared" si="10"/>
        <v>520</v>
      </c>
      <c r="C618">
        <f>SUM($B$2:B618)/A618</f>
        <v>65.633116883116884</v>
      </c>
    </row>
    <row r="619" spans="1:3" x14ac:dyDescent="0.2">
      <c r="A619">
        <v>617</v>
      </c>
      <c r="B619">
        <f t="shared" si="10"/>
        <v>585</v>
      </c>
      <c r="C619">
        <f>SUM($B$2:B619)/A619</f>
        <v>66.474878444084283</v>
      </c>
    </row>
    <row r="620" spans="1:3" x14ac:dyDescent="0.2">
      <c r="A620">
        <v>618</v>
      </c>
      <c r="B620">
        <f t="shared" si="10"/>
        <v>585</v>
      </c>
      <c r="C620">
        <f>SUM($B$2:B620)/A620</f>
        <v>67.313915857605181</v>
      </c>
    </row>
    <row r="621" spans="1:3" x14ac:dyDescent="0.2">
      <c r="A621">
        <v>619</v>
      </c>
      <c r="B621">
        <f t="shared" si="10"/>
        <v>650</v>
      </c>
      <c r="C621">
        <f>SUM($B$2:B621)/A621</f>
        <v>68.255250403877227</v>
      </c>
    </row>
    <row r="622" spans="1:3" x14ac:dyDescent="0.2">
      <c r="A622">
        <v>620</v>
      </c>
      <c r="B622">
        <f t="shared" si="10"/>
        <v>650</v>
      </c>
      <c r="C622">
        <f>SUM($B$2:B622)/A622</f>
        <v>69.193548387096769</v>
      </c>
    </row>
    <row r="623" spans="1:3" x14ac:dyDescent="0.2">
      <c r="A623">
        <v>621</v>
      </c>
      <c r="B623">
        <f t="shared" si="10"/>
        <v>0</v>
      </c>
      <c r="C623">
        <f>SUM($B$2:B623)/A623</f>
        <v>69.082125603864739</v>
      </c>
    </row>
    <row r="624" spans="1:3" x14ac:dyDescent="0.2">
      <c r="A624">
        <v>622</v>
      </c>
      <c r="B624">
        <f t="shared" si="10"/>
        <v>0</v>
      </c>
      <c r="C624">
        <f>SUM($B$2:B624)/A624</f>
        <v>68.971061093247584</v>
      </c>
    </row>
    <row r="625" spans="1:3" x14ac:dyDescent="0.2">
      <c r="A625">
        <v>623</v>
      </c>
      <c r="B625">
        <f t="shared" si="10"/>
        <v>0</v>
      </c>
      <c r="C625">
        <f>SUM($B$2:B625)/A625</f>
        <v>68.860353130016051</v>
      </c>
    </row>
    <row r="626" spans="1:3" x14ac:dyDescent="0.2">
      <c r="A626">
        <v>624</v>
      </c>
      <c r="B626">
        <f t="shared" si="10"/>
        <v>0</v>
      </c>
      <c r="C626">
        <f>SUM($B$2:B626)/A626</f>
        <v>68.75</v>
      </c>
    </row>
    <row r="627" spans="1:3" x14ac:dyDescent="0.2">
      <c r="A627">
        <v>625</v>
      </c>
      <c r="B627">
        <f t="shared" si="10"/>
        <v>0</v>
      </c>
      <c r="C627">
        <f>SUM($B$2:B627)/A627</f>
        <v>68.64</v>
      </c>
    </row>
    <row r="628" spans="1:3" x14ac:dyDescent="0.2">
      <c r="A628">
        <v>626</v>
      </c>
      <c r="B628">
        <f t="shared" si="10"/>
        <v>0</v>
      </c>
      <c r="C628">
        <f>SUM($B$2:B628)/A628</f>
        <v>68.530351437699679</v>
      </c>
    </row>
    <row r="629" spans="1:3" x14ac:dyDescent="0.2">
      <c r="A629">
        <v>627</v>
      </c>
      <c r="B629">
        <f t="shared" si="10"/>
        <v>0</v>
      </c>
      <c r="C629">
        <f>SUM($B$2:B629)/A629</f>
        <v>68.421052631578945</v>
      </c>
    </row>
    <row r="630" spans="1:3" x14ac:dyDescent="0.2">
      <c r="A630">
        <v>628</v>
      </c>
      <c r="B630">
        <f t="shared" si="10"/>
        <v>0</v>
      </c>
      <c r="C630">
        <f>SUM($B$2:B630)/A630</f>
        <v>68.312101910828019</v>
      </c>
    </row>
    <row r="631" spans="1:3" x14ac:dyDescent="0.2">
      <c r="A631">
        <v>629</v>
      </c>
      <c r="B631">
        <f t="shared" si="10"/>
        <v>0</v>
      </c>
      <c r="C631">
        <f>SUM($B$2:B631)/A631</f>
        <v>68.203497615262322</v>
      </c>
    </row>
    <row r="632" spans="1:3" x14ac:dyDescent="0.2">
      <c r="A632">
        <v>630</v>
      </c>
      <c r="B632">
        <f t="shared" si="10"/>
        <v>0</v>
      </c>
      <c r="C632">
        <f>SUM($B$2:B632)/A632</f>
        <v>68.095238095238102</v>
      </c>
    </row>
    <row r="633" spans="1:3" x14ac:dyDescent="0.2">
      <c r="A633">
        <v>631</v>
      </c>
      <c r="B633">
        <f t="shared" si="10"/>
        <v>0</v>
      </c>
      <c r="C633">
        <f>SUM($B$2:B633)/A633</f>
        <v>67.987321711568939</v>
      </c>
    </row>
    <row r="634" spans="1:3" x14ac:dyDescent="0.2">
      <c r="A634">
        <v>632</v>
      </c>
      <c r="B634">
        <f t="shared" si="10"/>
        <v>0</v>
      </c>
      <c r="C634">
        <f>SUM($B$2:B634)/A634</f>
        <v>67.879746835443044</v>
      </c>
    </row>
    <row r="635" spans="1:3" x14ac:dyDescent="0.2">
      <c r="A635">
        <v>633</v>
      </c>
      <c r="B635">
        <f t="shared" si="10"/>
        <v>0</v>
      </c>
      <c r="C635">
        <f>SUM($B$2:B635)/A635</f>
        <v>67.772511848341239</v>
      </c>
    </row>
    <row r="636" spans="1:3" x14ac:dyDescent="0.2">
      <c r="A636">
        <v>634</v>
      </c>
      <c r="B636">
        <f t="shared" si="10"/>
        <v>0</v>
      </c>
      <c r="C636">
        <f>SUM($B$2:B636)/A636</f>
        <v>67.66561514195584</v>
      </c>
    </row>
    <row r="637" spans="1:3" x14ac:dyDescent="0.2">
      <c r="A637">
        <v>635</v>
      </c>
      <c r="B637">
        <f t="shared" si="10"/>
        <v>0</v>
      </c>
      <c r="C637">
        <f>SUM($B$2:B637)/A637</f>
        <v>67.559055118110237</v>
      </c>
    </row>
    <row r="638" spans="1:3" x14ac:dyDescent="0.2">
      <c r="A638">
        <v>636</v>
      </c>
      <c r="B638">
        <f t="shared" si="10"/>
        <v>0</v>
      </c>
      <c r="C638">
        <f>SUM($B$2:B638)/A638</f>
        <v>67.452830188679243</v>
      </c>
    </row>
    <row r="639" spans="1:3" x14ac:dyDescent="0.2">
      <c r="A639">
        <v>637</v>
      </c>
      <c r="B639">
        <f t="shared" si="10"/>
        <v>0</v>
      </c>
      <c r="C639">
        <f>SUM($B$2:B639)/A639</f>
        <v>67.34693877551021</v>
      </c>
    </row>
    <row r="640" spans="1:3" x14ac:dyDescent="0.2">
      <c r="A640">
        <v>638</v>
      </c>
      <c r="B640">
        <f t="shared" si="10"/>
        <v>0</v>
      </c>
      <c r="C640">
        <f>SUM($B$2:B640)/A640</f>
        <v>67.241379310344826</v>
      </c>
    </row>
    <row r="641" spans="1:3" x14ac:dyDescent="0.2">
      <c r="A641">
        <v>639</v>
      </c>
      <c r="B641">
        <f t="shared" si="10"/>
        <v>0</v>
      </c>
      <c r="C641">
        <f>SUM($B$2:B641)/A641</f>
        <v>67.136150234741791</v>
      </c>
    </row>
    <row r="642" spans="1:3" x14ac:dyDescent="0.2">
      <c r="A642">
        <v>640</v>
      </c>
      <c r="B642">
        <f t="shared" si="10"/>
        <v>0</v>
      </c>
      <c r="C642">
        <f>SUM($B$2:B642)/A642</f>
        <v>67.03125</v>
      </c>
    </row>
    <row r="643" spans="1:3" x14ac:dyDescent="0.2">
      <c r="A643">
        <v>641</v>
      </c>
      <c r="B643">
        <f t="shared" si="10"/>
        <v>0</v>
      </c>
      <c r="C643">
        <f>SUM($B$2:B643)/A643</f>
        <v>66.926677067082679</v>
      </c>
    </row>
    <row r="644" spans="1:3" x14ac:dyDescent="0.2">
      <c r="A644">
        <v>642</v>
      </c>
      <c r="B644">
        <f t="shared" si="10"/>
        <v>0</v>
      </c>
      <c r="C644">
        <f>SUM($B$2:B644)/A644</f>
        <v>66.822429906542055</v>
      </c>
    </row>
    <row r="645" spans="1:3" x14ac:dyDescent="0.2">
      <c r="A645">
        <v>643</v>
      </c>
      <c r="B645">
        <f t="shared" ref="B645:B708" si="11">IF((A644-IF(A644+1/120&gt;1,ROUNDDOWN(A644/120,0)*120,0))/20&lt;1,ROUNDDOWN((A644-120*ROUNDDOWN(A644/120,0))/2,0)*65+65,0)</f>
        <v>0</v>
      </c>
      <c r="C645">
        <f>SUM($B$2:B645)/A645</f>
        <v>66.718506998444795</v>
      </c>
    </row>
    <row r="646" spans="1:3" x14ac:dyDescent="0.2">
      <c r="A646">
        <v>644</v>
      </c>
      <c r="B646">
        <f t="shared" si="11"/>
        <v>0</v>
      </c>
      <c r="C646">
        <f>SUM($B$2:B646)/A646</f>
        <v>66.614906832298132</v>
      </c>
    </row>
    <row r="647" spans="1:3" x14ac:dyDescent="0.2">
      <c r="A647">
        <v>645</v>
      </c>
      <c r="B647">
        <f t="shared" si="11"/>
        <v>0</v>
      </c>
      <c r="C647">
        <f>SUM($B$2:B647)/A647</f>
        <v>66.511627906976742</v>
      </c>
    </row>
    <row r="648" spans="1:3" x14ac:dyDescent="0.2">
      <c r="A648">
        <v>646</v>
      </c>
      <c r="B648">
        <f t="shared" si="11"/>
        <v>0</v>
      </c>
      <c r="C648">
        <f>SUM($B$2:B648)/A648</f>
        <v>66.408668730650149</v>
      </c>
    </row>
    <row r="649" spans="1:3" x14ac:dyDescent="0.2">
      <c r="A649">
        <v>647</v>
      </c>
      <c r="B649">
        <f t="shared" si="11"/>
        <v>0</v>
      </c>
      <c r="C649">
        <f>SUM($B$2:B649)/A649</f>
        <v>66.30602782071098</v>
      </c>
    </row>
    <row r="650" spans="1:3" x14ac:dyDescent="0.2">
      <c r="A650">
        <v>648</v>
      </c>
      <c r="B650">
        <f t="shared" si="11"/>
        <v>0</v>
      </c>
      <c r="C650">
        <f>SUM($B$2:B650)/A650</f>
        <v>66.203703703703709</v>
      </c>
    </row>
    <row r="651" spans="1:3" x14ac:dyDescent="0.2">
      <c r="A651">
        <v>649</v>
      </c>
      <c r="B651">
        <f t="shared" si="11"/>
        <v>0</v>
      </c>
      <c r="C651">
        <f>SUM($B$2:B651)/A651</f>
        <v>66.101694915254242</v>
      </c>
    </row>
    <row r="652" spans="1:3" x14ac:dyDescent="0.2">
      <c r="A652">
        <v>650</v>
      </c>
      <c r="B652">
        <f t="shared" si="11"/>
        <v>0</v>
      </c>
      <c r="C652">
        <f>SUM($B$2:B652)/A652</f>
        <v>66</v>
      </c>
    </row>
    <row r="653" spans="1:3" x14ac:dyDescent="0.2">
      <c r="A653">
        <v>651</v>
      </c>
      <c r="B653">
        <f t="shared" si="11"/>
        <v>0</v>
      </c>
      <c r="C653">
        <f>SUM($B$2:B653)/A653</f>
        <v>65.89861751152074</v>
      </c>
    </row>
    <row r="654" spans="1:3" x14ac:dyDescent="0.2">
      <c r="A654">
        <v>652</v>
      </c>
      <c r="B654">
        <f t="shared" si="11"/>
        <v>0</v>
      </c>
      <c r="C654">
        <f>SUM($B$2:B654)/A654</f>
        <v>65.797546012269933</v>
      </c>
    </row>
    <row r="655" spans="1:3" x14ac:dyDescent="0.2">
      <c r="A655">
        <v>653</v>
      </c>
      <c r="B655">
        <f t="shared" si="11"/>
        <v>0</v>
      </c>
      <c r="C655">
        <f>SUM($B$2:B655)/A655</f>
        <v>65.69678407350689</v>
      </c>
    </row>
    <row r="656" spans="1:3" x14ac:dyDescent="0.2">
      <c r="A656">
        <v>654</v>
      </c>
      <c r="B656">
        <f t="shared" si="11"/>
        <v>0</v>
      </c>
      <c r="C656">
        <f>SUM($B$2:B656)/A656</f>
        <v>65.596330275229363</v>
      </c>
    </row>
    <row r="657" spans="1:3" x14ac:dyDescent="0.2">
      <c r="A657">
        <v>655</v>
      </c>
      <c r="B657">
        <f t="shared" si="11"/>
        <v>0</v>
      </c>
      <c r="C657">
        <f>SUM($B$2:B657)/A657</f>
        <v>65.496183206106863</v>
      </c>
    </row>
    <row r="658" spans="1:3" x14ac:dyDescent="0.2">
      <c r="A658">
        <v>656</v>
      </c>
      <c r="B658">
        <f t="shared" si="11"/>
        <v>0</v>
      </c>
      <c r="C658">
        <f>SUM($B$2:B658)/A658</f>
        <v>65.396341463414629</v>
      </c>
    </row>
    <row r="659" spans="1:3" x14ac:dyDescent="0.2">
      <c r="A659">
        <v>657</v>
      </c>
      <c r="B659">
        <f t="shared" si="11"/>
        <v>0</v>
      </c>
      <c r="C659">
        <f>SUM($B$2:B659)/A659</f>
        <v>65.296803652968038</v>
      </c>
    </row>
    <row r="660" spans="1:3" x14ac:dyDescent="0.2">
      <c r="A660">
        <v>658</v>
      </c>
      <c r="B660">
        <f t="shared" si="11"/>
        <v>0</v>
      </c>
      <c r="C660">
        <f>SUM($B$2:B660)/A660</f>
        <v>65.19756838905775</v>
      </c>
    </row>
    <row r="661" spans="1:3" x14ac:dyDescent="0.2">
      <c r="A661">
        <v>659</v>
      </c>
      <c r="B661">
        <f t="shared" si="11"/>
        <v>0</v>
      </c>
      <c r="C661">
        <f>SUM($B$2:B661)/A661</f>
        <v>65.098634294385434</v>
      </c>
    </row>
    <row r="662" spans="1:3" x14ac:dyDescent="0.2">
      <c r="A662">
        <v>660</v>
      </c>
      <c r="B662">
        <f t="shared" si="11"/>
        <v>0</v>
      </c>
      <c r="C662">
        <f>SUM($B$2:B662)/A662</f>
        <v>65</v>
      </c>
    </row>
    <row r="663" spans="1:3" x14ac:dyDescent="0.2">
      <c r="A663">
        <v>661</v>
      </c>
      <c r="B663">
        <f t="shared" si="11"/>
        <v>0</v>
      </c>
      <c r="C663">
        <f>SUM($B$2:B663)/A663</f>
        <v>64.901664145234491</v>
      </c>
    </row>
    <row r="664" spans="1:3" x14ac:dyDescent="0.2">
      <c r="A664">
        <v>662</v>
      </c>
      <c r="B664">
        <f t="shared" si="11"/>
        <v>0</v>
      </c>
      <c r="C664">
        <f>SUM($B$2:B664)/A664</f>
        <v>64.803625377643499</v>
      </c>
    </row>
    <row r="665" spans="1:3" x14ac:dyDescent="0.2">
      <c r="A665">
        <v>663</v>
      </c>
      <c r="B665">
        <f t="shared" si="11"/>
        <v>0</v>
      </c>
      <c r="C665">
        <f>SUM($B$2:B665)/A665</f>
        <v>64.705882352941174</v>
      </c>
    </row>
    <row r="666" spans="1:3" x14ac:dyDescent="0.2">
      <c r="A666">
        <v>664</v>
      </c>
      <c r="B666">
        <f t="shared" si="11"/>
        <v>0</v>
      </c>
      <c r="C666">
        <f>SUM($B$2:B666)/A666</f>
        <v>64.608433734939766</v>
      </c>
    </row>
    <row r="667" spans="1:3" x14ac:dyDescent="0.2">
      <c r="A667">
        <v>665</v>
      </c>
      <c r="B667">
        <f t="shared" si="11"/>
        <v>0</v>
      </c>
      <c r="C667">
        <f>SUM($B$2:B667)/A667</f>
        <v>64.511278195488728</v>
      </c>
    </row>
    <row r="668" spans="1:3" x14ac:dyDescent="0.2">
      <c r="A668">
        <v>666</v>
      </c>
      <c r="B668">
        <f t="shared" si="11"/>
        <v>0</v>
      </c>
      <c r="C668">
        <f>SUM($B$2:B668)/A668</f>
        <v>64.414414414414409</v>
      </c>
    </row>
    <row r="669" spans="1:3" x14ac:dyDescent="0.2">
      <c r="A669">
        <v>667</v>
      </c>
      <c r="B669">
        <f t="shared" si="11"/>
        <v>0</v>
      </c>
      <c r="C669">
        <f>SUM($B$2:B669)/A669</f>
        <v>64.317841079460266</v>
      </c>
    </row>
    <row r="670" spans="1:3" x14ac:dyDescent="0.2">
      <c r="A670">
        <v>668</v>
      </c>
      <c r="B670">
        <f t="shared" si="11"/>
        <v>0</v>
      </c>
      <c r="C670">
        <f>SUM($B$2:B670)/A670</f>
        <v>64.221556886227546</v>
      </c>
    </row>
    <row r="671" spans="1:3" x14ac:dyDescent="0.2">
      <c r="A671">
        <v>669</v>
      </c>
      <c r="B671">
        <f t="shared" si="11"/>
        <v>0</v>
      </c>
      <c r="C671">
        <f>SUM($B$2:B671)/A671</f>
        <v>64.125560538116588</v>
      </c>
    </row>
    <row r="672" spans="1:3" x14ac:dyDescent="0.2">
      <c r="A672">
        <v>670</v>
      </c>
      <c r="B672">
        <f t="shared" si="11"/>
        <v>0</v>
      </c>
      <c r="C672">
        <f>SUM($B$2:B672)/A672</f>
        <v>64.02985074626865</v>
      </c>
    </row>
    <row r="673" spans="1:3" x14ac:dyDescent="0.2">
      <c r="A673">
        <v>671</v>
      </c>
      <c r="B673">
        <f t="shared" si="11"/>
        <v>0</v>
      </c>
      <c r="C673">
        <f>SUM($B$2:B673)/A673</f>
        <v>63.934426229508198</v>
      </c>
    </row>
    <row r="674" spans="1:3" x14ac:dyDescent="0.2">
      <c r="A674">
        <v>672</v>
      </c>
      <c r="B674">
        <f t="shared" si="11"/>
        <v>0</v>
      </c>
      <c r="C674">
        <f>SUM($B$2:B674)/A674</f>
        <v>63.839285714285715</v>
      </c>
    </row>
    <row r="675" spans="1:3" x14ac:dyDescent="0.2">
      <c r="A675">
        <v>673</v>
      </c>
      <c r="B675">
        <f t="shared" si="11"/>
        <v>0</v>
      </c>
      <c r="C675">
        <f>SUM($B$2:B675)/A675</f>
        <v>63.7444279346211</v>
      </c>
    </row>
    <row r="676" spans="1:3" x14ac:dyDescent="0.2">
      <c r="A676">
        <v>674</v>
      </c>
      <c r="B676">
        <f t="shared" si="11"/>
        <v>0</v>
      </c>
      <c r="C676">
        <f>SUM($B$2:B676)/A676</f>
        <v>63.649851632047479</v>
      </c>
    </row>
    <row r="677" spans="1:3" x14ac:dyDescent="0.2">
      <c r="A677">
        <v>675</v>
      </c>
      <c r="B677">
        <f t="shared" si="11"/>
        <v>0</v>
      </c>
      <c r="C677">
        <f>SUM($B$2:B677)/A677</f>
        <v>63.555555555555557</v>
      </c>
    </row>
    <row r="678" spans="1:3" x14ac:dyDescent="0.2">
      <c r="A678">
        <v>676</v>
      </c>
      <c r="B678">
        <f t="shared" si="11"/>
        <v>0</v>
      </c>
      <c r="C678">
        <f>SUM($B$2:B678)/A678</f>
        <v>63.46153846153846</v>
      </c>
    </row>
    <row r="679" spans="1:3" x14ac:dyDescent="0.2">
      <c r="A679">
        <v>677</v>
      </c>
      <c r="B679">
        <f t="shared" si="11"/>
        <v>0</v>
      </c>
      <c r="C679">
        <f>SUM($B$2:B679)/A679</f>
        <v>63.367799113737078</v>
      </c>
    </row>
    <row r="680" spans="1:3" x14ac:dyDescent="0.2">
      <c r="A680">
        <v>678</v>
      </c>
      <c r="B680">
        <f t="shared" si="11"/>
        <v>0</v>
      </c>
      <c r="C680">
        <f>SUM($B$2:B680)/A680</f>
        <v>63.274336283185839</v>
      </c>
    </row>
    <row r="681" spans="1:3" x14ac:dyDescent="0.2">
      <c r="A681">
        <v>679</v>
      </c>
      <c r="B681">
        <f t="shared" si="11"/>
        <v>0</v>
      </c>
      <c r="C681">
        <f>SUM($B$2:B681)/A681</f>
        <v>63.18114874815906</v>
      </c>
    </row>
    <row r="682" spans="1:3" x14ac:dyDescent="0.2">
      <c r="A682">
        <v>680</v>
      </c>
      <c r="B682">
        <f t="shared" si="11"/>
        <v>0</v>
      </c>
      <c r="C682">
        <f>SUM($B$2:B682)/A682</f>
        <v>63.088235294117645</v>
      </c>
    </row>
    <row r="683" spans="1:3" x14ac:dyDescent="0.2">
      <c r="A683">
        <v>681</v>
      </c>
      <c r="B683">
        <f t="shared" si="11"/>
        <v>0</v>
      </c>
      <c r="C683">
        <f>SUM($B$2:B683)/A683</f>
        <v>62.995594713656388</v>
      </c>
    </row>
    <row r="684" spans="1:3" x14ac:dyDescent="0.2">
      <c r="A684">
        <v>682</v>
      </c>
      <c r="B684">
        <f t="shared" si="11"/>
        <v>0</v>
      </c>
      <c r="C684">
        <f>SUM($B$2:B684)/A684</f>
        <v>62.903225806451616</v>
      </c>
    </row>
    <row r="685" spans="1:3" x14ac:dyDescent="0.2">
      <c r="A685">
        <v>683</v>
      </c>
      <c r="B685">
        <f t="shared" si="11"/>
        <v>0</v>
      </c>
      <c r="C685">
        <f>SUM($B$2:B685)/A685</f>
        <v>62.811127379209367</v>
      </c>
    </row>
    <row r="686" spans="1:3" x14ac:dyDescent="0.2">
      <c r="A686">
        <v>684</v>
      </c>
      <c r="B686">
        <f t="shared" si="11"/>
        <v>0</v>
      </c>
      <c r="C686">
        <f>SUM($B$2:B686)/A686</f>
        <v>62.719298245614034</v>
      </c>
    </row>
    <row r="687" spans="1:3" x14ac:dyDescent="0.2">
      <c r="A687">
        <v>685</v>
      </c>
      <c r="B687">
        <f t="shared" si="11"/>
        <v>0</v>
      </c>
      <c r="C687">
        <f>SUM($B$2:B687)/A687</f>
        <v>62.627737226277375</v>
      </c>
    </row>
    <row r="688" spans="1:3" x14ac:dyDescent="0.2">
      <c r="A688">
        <v>686</v>
      </c>
      <c r="B688">
        <f t="shared" si="11"/>
        <v>0</v>
      </c>
      <c r="C688">
        <f>SUM($B$2:B688)/A688</f>
        <v>62.536443148688043</v>
      </c>
    </row>
    <row r="689" spans="1:3" x14ac:dyDescent="0.2">
      <c r="A689">
        <v>687</v>
      </c>
      <c r="B689">
        <f t="shared" si="11"/>
        <v>0</v>
      </c>
      <c r="C689">
        <f>SUM($B$2:B689)/A689</f>
        <v>62.445414847161572</v>
      </c>
    </row>
    <row r="690" spans="1:3" x14ac:dyDescent="0.2">
      <c r="A690">
        <v>688</v>
      </c>
      <c r="B690">
        <f t="shared" si="11"/>
        <v>0</v>
      </c>
      <c r="C690">
        <f>SUM($B$2:B690)/A690</f>
        <v>62.354651162790695</v>
      </c>
    </row>
    <row r="691" spans="1:3" x14ac:dyDescent="0.2">
      <c r="A691">
        <v>689</v>
      </c>
      <c r="B691">
        <f t="shared" si="11"/>
        <v>0</v>
      </c>
      <c r="C691">
        <f>SUM($B$2:B691)/A691</f>
        <v>62.264150943396224</v>
      </c>
    </row>
    <row r="692" spans="1:3" x14ac:dyDescent="0.2">
      <c r="A692">
        <v>690</v>
      </c>
      <c r="B692">
        <f t="shared" si="11"/>
        <v>0</v>
      </c>
      <c r="C692">
        <f>SUM($B$2:B692)/A692</f>
        <v>62.173913043478258</v>
      </c>
    </row>
    <row r="693" spans="1:3" x14ac:dyDescent="0.2">
      <c r="A693">
        <v>691</v>
      </c>
      <c r="B693">
        <f t="shared" si="11"/>
        <v>0</v>
      </c>
      <c r="C693">
        <f>SUM($B$2:B693)/A693</f>
        <v>62.083936324167873</v>
      </c>
    </row>
    <row r="694" spans="1:3" x14ac:dyDescent="0.2">
      <c r="A694">
        <v>692</v>
      </c>
      <c r="B694">
        <f t="shared" si="11"/>
        <v>0</v>
      </c>
      <c r="C694">
        <f>SUM($B$2:B694)/A694</f>
        <v>61.994219653179194</v>
      </c>
    </row>
    <row r="695" spans="1:3" x14ac:dyDescent="0.2">
      <c r="A695">
        <v>693</v>
      </c>
      <c r="B695">
        <f t="shared" si="11"/>
        <v>0</v>
      </c>
      <c r="C695">
        <f>SUM($B$2:B695)/A695</f>
        <v>61.904761904761905</v>
      </c>
    </row>
    <row r="696" spans="1:3" x14ac:dyDescent="0.2">
      <c r="A696">
        <v>694</v>
      </c>
      <c r="B696">
        <f t="shared" si="11"/>
        <v>0</v>
      </c>
      <c r="C696">
        <f>SUM($B$2:B696)/A696</f>
        <v>61.815561959654175</v>
      </c>
    </row>
    <row r="697" spans="1:3" x14ac:dyDescent="0.2">
      <c r="A697">
        <v>695</v>
      </c>
      <c r="B697">
        <f t="shared" si="11"/>
        <v>0</v>
      </c>
      <c r="C697">
        <f>SUM($B$2:B697)/A697</f>
        <v>61.726618705035975</v>
      </c>
    </row>
    <row r="698" spans="1:3" x14ac:dyDescent="0.2">
      <c r="A698">
        <v>696</v>
      </c>
      <c r="B698">
        <f t="shared" si="11"/>
        <v>0</v>
      </c>
      <c r="C698">
        <f>SUM($B$2:B698)/A698</f>
        <v>61.637931034482762</v>
      </c>
    </row>
    <row r="699" spans="1:3" x14ac:dyDescent="0.2">
      <c r="A699">
        <v>697</v>
      </c>
      <c r="B699">
        <f t="shared" si="11"/>
        <v>0</v>
      </c>
      <c r="C699">
        <f>SUM($B$2:B699)/A699</f>
        <v>61.549497847919653</v>
      </c>
    </row>
    <row r="700" spans="1:3" x14ac:dyDescent="0.2">
      <c r="A700">
        <v>698</v>
      </c>
      <c r="B700">
        <f t="shared" si="11"/>
        <v>0</v>
      </c>
      <c r="C700">
        <f>SUM($B$2:B700)/A700</f>
        <v>61.46131805157593</v>
      </c>
    </row>
    <row r="701" spans="1:3" x14ac:dyDescent="0.2">
      <c r="A701">
        <v>699</v>
      </c>
      <c r="B701">
        <f t="shared" si="11"/>
        <v>0</v>
      </c>
      <c r="C701">
        <f>SUM($B$2:B701)/A701</f>
        <v>61.373390557939913</v>
      </c>
    </row>
    <row r="702" spans="1:3" x14ac:dyDescent="0.2">
      <c r="A702">
        <v>700</v>
      </c>
      <c r="B702">
        <f t="shared" si="11"/>
        <v>0</v>
      </c>
      <c r="C702">
        <f>SUM($B$2:B702)/A702</f>
        <v>61.285714285714285</v>
      </c>
    </row>
    <row r="703" spans="1:3" x14ac:dyDescent="0.2">
      <c r="A703">
        <v>701</v>
      </c>
      <c r="B703">
        <f t="shared" si="11"/>
        <v>0</v>
      </c>
      <c r="C703">
        <f>SUM($B$2:B703)/A703</f>
        <v>61.198288159771757</v>
      </c>
    </row>
    <row r="704" spans="1:3" x14ac:dyDescent="0.2">
      <c r="A704">
        <v>702</v>
      </c>
      <c r="B704">
        <f t="shared" si="11"/>
        <v>0</v>
      </c>
      <c r="C704">
        <f>SUM($B$2:B704)/A704</f>
        <v>61.111111111111114</v>
      </c>
    </row>
    <row r="705" spans="1:3" x14ac:dyDescent="0.2">
      <c r="A705">
        <v>703</v>
      </c>
      <c r="B705">
        <f t="shared" si="11"/>
        <v>0</v>
      </c>
      <c r="C705">
        <f>SUM($B$2:B705)/A705</f>
        <v>61.024182076813659</v>
      </c>
    </row>
    <row r="706" spans="1:3" x14ac:dyDescent="0.2">
      <c r="A706">
        <v>704</v>
      </c>
      <c r="B706">
        <f t="shared" si="11"/>
        <v>0</v>
      </c>
      <c r="C706">
        <f>SUM($B$2:B706)/A706</f>
        <v>60.9375</v>
      </c>
    </row>
    <row r="707" spans="1:3" x14ac:dyDescent="0.2">
      <c r="A707">
        <v>705</v>
      </c>
      <c r="B707">
        <f t="shared" si="11"/>
        <v>0</v>
      </c>
      <c r="C707">
        <f>SUM($B$2:B707)/A707</f>
        <v>60.851063829787236</v>
      </c>
    </row>
    <row r="708" spans="1:3" x14ac:dyDescent="0.2">
      <c r="A708">
        <v>706</v>
      </c>
      <c r="B708">
        <f t="shared" si="11"/>
        <v>0</v>
      </c>
      <c r="C708">
        <f>SUM($B$2:B708)/A708</f>
        <v>60.76487252124646</v>
      </c>
    </row>
    <row r="709" spans="1:3" x14ac:dyDescent="0.2">
      <c r="A709">
        <v>707</v>
      </c>
      <c r="B709">
        <f t="shared" ref="B709:B772" si="12">IF((A708-IF(A708+1/120&gt;1,ROUNDDOWN(A708/120,0)*120,0))/20&lt;1,ROUNDDOWN((A708-120*ROUNDDOWN(A708/120,0))/2,0)*65+65,0)</f>
        <v>0</v>
      </c>
      <c r="C709">
        <f>SUM($B$2:B709)/A709</f>
        <v>60.678925035360677</v>
      </c>
    </row>
    <row r="710" spans="1:3" x14ac:dyDescent="0.2">
      <c r="A710">
        <v>708</v>
      </c>
      <c r="B710">
        <f t="shared" si="12"/>
        <v>0</v>
      </c>
      <c r="C710">
        <f>SUM($B$2:B710)/A710</f>
        <v>60.593220338983052</v>
      </c>
    </row>
    <row r="711" spans="1:3" x14ac:dyDescent="0.2">
      <c r="A711">
        <v>709</v>
      </c>
      <c r="B711">
        <f t="shared" si="12"/>
        <v>0</v>
      </c>
      <c r="C711">
        <f>SUM($B$2:B711)/A711</f>
        <v>60.507757404795484</v>
      </c>
    </row>
    <row r="712" spans="1:3" x14ac:dyDescent="0.2">
      <c r="A712">
        <v>710</v>
      </c>
      <c r="B712">
        <f t="shared" si="12"/>
        <v>0</v>
      </c>
      <c r="C712">
        <f>SUM($B$2:B712)/A712</f>
        <v>60.422535211267608</v>
      </c>
    </row>
    <row r="713" spans="1:3" x14ac:dyDescent="0.2">
      <c r="A713">
        <v>711</v>
      </c>
      <c r="B713">
        <f t="shared" si="12"/>
        <v>0</v>
      </c>
      <c r="C713">
        <f>SUM($B$2:B713)/A713</f>
        <v>60.337552742616033</v>
      </c>
    </row>
    <row r="714" spans="1:3" x14ac:dyDescent="0.2">
      <c r="A714">
        <v>712</v>
      </c>
      <c r="B714">
        <f t="shared" si="12"/>
        <v>0</v>
      </c>
      <c r="C714">
        <f>SUM($B$2:B714)/A714</f>
        <v>60.252808988764045</v>
      </c>
    </row>
    <row r="715" spans="1:3" x14ac:dyDescent="0.2">
      <c r="A715">
        <v>713</v>
      </c>
      <c r="B715">
        <f t="shared" si="12"/>
        <v>0</v>
      </c>
      <c r="C715">
        <f>SUM($B$2:B715)/A715</f>
        <v>60.168302945301541</v>
      </c>
    </row>
    <row r="716" spans="1:3" x14ac:dyDescent="0.2">
      <c r="A716">
        <v>714</v>
      </c>
      <c r="B716">
        <f t="shared" si="12"/>
        <v>0</v>
      </c>
      <c r="C716">
        <f>SUM($B$2:B716)/A716</f>
        <v>60.084033613445378</v>
      </c>
    </row>
    <row r="717" spans="1:3" x14ac:dyDescent="0.2">
      <c r="A717">
        <v>715</v>
      </c>
      <c r="B717">
        <f t="shared" si="12"/>
        <v>0</v>
      </c>
      <c r="C717">
        <f>SUM($B$2:B717)/A717</f>
        <v>60</v>
      </c>
    </row>
    <row r="718" spans="1:3" x14ac:dyDescent="0.2">
      <c r="A718">
        <v>716</v>
      </c>
      <c r="B718">
        <f t="shared" si="12"/>
        <v>0</v>
      </c>
      <c r="C718">
        <f>SUM($B$2:B718)/A718</f>
        <v>59.916201117318437</v>
      </c>
    </row>
    <row r="719" spans="1:3" x14ac:dyDescent="0.2">
      <c r="A719">
        <v>717</v>
      </c>
      <c r="B719">
        <f t="shared" si="12"/>
        <v>0</v>
      </c>
      <c r="C719">
        <f>SUM($B$2:B719)/A719</f>
        <v>59.8326359832636</v>
      </c>
    </row>
    <row r="720" spans="1:3" x14ac:dyDescent="0.2">
      <c r="A720">
        <v>718</v>
      </c>
      <c r="B720">
        <f t="shared" si="12"/>
        <v>0</v>
      </c>
      <c r="C720">
        <f>SUM($B$2:B720)/A720</f>
        <v>59.749303621169915</v>
      </c>
    </row>
    <row r="721" spans="1:3" x14ac:dyDescent="0.2">
      <c r="A721">
        <v>719</v>
      </c>
      <c r="B721">
        <f t="shared" si="12"/>
        <v>0</v>
      </c>
      <c r="C721">
        <f>SUM($B$2:B721)/A721</f>
        <v>59.666203059805284</v>
      </c>
    </row>
    <row r="722" spans="1:3" x14ac:dyDescent="0.2">
      <c r="A722">
        <v>720</v>
      </c>
      <c r="B722">
        <f t="shared" si="12"/>
        <v>0</v>
      </c>
      <c r="C722">
        <f>SUM($B$2:B722)/A722</f>
        <v>59.583333333333336</v>
      </c>
    </row>
    <row r="723" spans="1:3" x14ac:dyDescent="0.2">
      <c r="A723">
        <v>721</v>
      </c>
      <c r="B723">
        <f t="shared" si="12"/>
        <v>65</v>
      </c>
      <c r="C723">
        <f>SUM($B$2:B723)/A723</f>
        <v>59.590846047156724</v>
      </c>
    </row>
    <row r="724" spans="1:3" x14ac:dyDescent="0.2">
      <c r="A724">
        <v>722</v>
      </c>
      <c r="B724">
        <f t="shared" si="12"/>
        <v>65</v>
      </c>
      <c r="C724">
        <f>SUM($B$2:B724)/A724</f>
        <v>59.598337950138507</v>
      </c>
    </row>
    <row r="725" spans="1:3" x14ac:dyDescent="0.2">
      <c r="A725">
        <v>723</v>
      </c>
      <c r="B725">
        <f t="shared" si="12"/>
        <v>130</v>
      </c>
      <c r="C725">
        <f>SUM($B$2:B725)/A725</f>
        <v>59.695712309820195</v>
      </c>
    </row>
    <row r="726" spans="1:3" x14ac:dyDescent="0.2">
      <c r="A726">
        <v>724</v>
      </c>
      <c r="B726">
        <f t="shared" si="12"/>
        <v>130</v>
      </c>
      <c r="C726">
        <f>SUM($B$2:B726)/A726</f>
        <v>59.792817679558013</v>
      </c>
    </row>
    <row r="727" spans="1:3" x14ac:dyDescent="0.2">
      <c r="A727">
        <v>725</v>
      </c>
      <c r="B727">
        <f t="shared" si="12"/>
        <v>195</v>
      </c>
      <c r="C727">
        <f>SUM($B$2:B727)/A727</f>
        <v>59.979310344827589</v>
      </c>
    </row>
    <row r="728" spans="1:3" x14ac:dyDescent="0.2">
      <c r="A728">
        <v>726</v>
      </c>
      <c r="B728">
        <f t="shared" si="12"/>
        <v>195</v>
      </c>
      <c r="C728">
        <f>SUM($B$2:B728)/A728</f>
        <v>60.165289256198349</v>
      </c>
    </row>
    <row r="729" spans="1:3" x14ac:dyDescent="0.2">
      <c r="A729">
        <v>727</v>
      </c>
      <c r="B729">
        <f t="shared" si="12"/>
        <v>260</v>
      </c>
      <c r="C729">
        <f>SUM($B$2:B729)/A729</f>
        <v>60.440165061898213</v>
      </c>
    </row>
    <row r="730" spans="1:3" x14ac:dyDescent="0.2">
      <c r="A730">
        <v>728</v>
      </c>
      <c r="B730">
        <f t="shared" si="12"/>
        <v>260</v>
      </c>
      <c r="C730">
        <f>SUM($B$2:B730)/A730</f>
        <v>60.714285714285715</v>
      </c>
    </row>
    <row r="731" spans="1:3" x14ac:dyDescent="0.2">
      <c r="A731">
        <v>729</v>
      </c>
      <c r="B731">
        <f t="shared" si="12"/>
        <v>325</v>
      </c>
      <c r="C731">
        <f>SUM($B$2:B731)/A731</f>
        <v>61.076817558299041</v>
      </c>
    </row>
    <row r="732" spans="1:3" x14ac:dyDescent="0.2">
      <c r="A732">
        <v>730</v>
      </c>
      <c r="B732">
        <f t="shared" si="12"/>
        <v>325</v>
      </c>
      <c r="C732">
        <f>SUM($B$2:B732)/A732</f>
        <v>61.438356164383563</v>
      </c>
    </row>
    <row r="733" spans="1:3" x14ac:dyDescent="0.2">
      <c r="A733">
        <v>731</v>
      </c>
      <c r="B733">
        <f t="shared" si="12"/>
        <v>390</v>
      </c>
      <c r="C733">
        <f>SUM($B$2:B733)/A733</f>
        <v>61.887824897400819</v>
      </c>
    </row>
    <row r="734" spans="1:3" x14ac:dyDescent="0.2">
      <c r="A734">
        <v>732</v>
      </c>
      <c r="B734">
        <f t="shared" si="12"/>
        <v>390</v>
      </c>
      <c r="C734">
        <f>SUM($B$2:B734)/A734</f>
        <v>62.33606557377049</v>
      </c>
    </row>
    <row r="735" spans="1:3" x14ac:dyDescent="0.2">
      <c r="A735">
        <v>733</v>
      </c>
      <c r="B735">
        <f t="shared" si="12"/>
        <v>455</v>
      </c>
      <c r="C735">
        <f>SUM($B$2:B735)/A735</f>
        <v>62.871759890859479</v>
      </c>
    </row>
    <row r="736" spans="1:3" x14ac:dyDescent="0.2">
      <c r="A736">
        <v>734</v>
      </c>
      <c r="B736">
        <f t="shared" si="12"/>
        <v>455</v>
      </c>
      <c r="C736">
        <f>SUM($B$2:B736)/A736</f>
        <v>63.405994550408721</v>
      </c>
    </row>
    <row r="737" spans="1:3" x14ac:dyDescent="0.2">
      <c r="A737">
        <v>735</v>
      </c>
      <c r="B737">
        <f t="shared" si="12"/>
        <v>520</v>
      </c>
      <c r="C737">
        <f>SUM($B$2:B737)/A737</f>
        <v>64.027210884353735</v>
      </c>
    </row>
    <row r="738" spans="1:3" x14ac:dyDescent="0.2">
      <c r="A738">
        <v>736</v>
      </c>
      <c r="B738">
        <f t="shared" si="12"/>
        <v>520</v>
      </c>
      <c r="C738">
        <f>SUM($B$2:B738)/A738</f>
        <v>64.646739130434781</v>
      </c>
    </row>
    <row r="739" spans="1:3" x14ac:dyDescent="0.2">
      <c r="A739">
        <v>737</v>
      </c>
      <c r="B739">
        <f t="shared" si="12"/>
        <v>585</v>
      </c>
      <c r="C739">
        <f>SUM($B$2:B739)/A739</f>
        <v>65.3527815468114</v>
      </c>
    </row>
    <row r="740" spans="1:3" x14ac:dyDescent="0.2">
      <c r="A740">
        <v>738</v>
      </c>
      <c r="B740">
        <f t="shared" si="12"/>
        <v>585</v>
      </c>
      <c r="C740">
        <f>SUM($B$2:B740)/A740</f>
        <v>66.056910569105696</v>
      </c>
    </row>
    <row r="741" spans="1:3" x14ac:dyDescent="0.2">
      <c r="A741">
        <v>739</v>
      </c>
      <c r="B741">
        <f t="shared" si="12"/>
        <v>650</v>
      </c>
      <c r="C741">
        <f>SUM($B$2:B741)/A741</f>
        <v>66.847090663058182</v>
      </c>
    </row>
    <row r="742" spans="1:3" x14ac:dyDescent="0.2">
      <c r="A742">
        <v>740</v>
      </c>
      <c r="B742">
        <f t="shared" si="12"/>
        <v>650</v>
      </c>
      <c r="C742">
        <f>SUM($B$2:B742)/A742</f>
        <v>67.63513513513513</v>
      </c>
    </row>
    <row r="743" spans="1:3" x14ac:dyDescent="0.2">
      <c r="A743">
        <v>741</v>
      </c>
      <c r="B743">
        <f t="shared" si="12"/>
        <v>0</v>
      </c>
      <c r="C743">
        <f>SUM($B$2:B743)/A743</f>
        <v>67.543859649122808</v>
      </c>
    </row>
    <row r="744" spans="1:3" x14ac:dyDescent="0.2">
      <c r="A744">
        <v>742</v>
      </c>
      <c r="B744">
        <f t="shared" si="12"/>
        <v>0</v>
      </c>
      <c r="C744">
        <f>SUM($B$2:B744)/A744</f>
        <v>67.452830188679243</v>
      </c>
    </row>
    <row r="745" spans="1:3" x14ac:dyDescent="0.2">
      <c r="A745">
        <v>743</v>
      </c>
      <c r="B745">
        <f t="shared" si="12"/>
        <v>0</v>
      </c>
      <c r="C745">
        <f>SUM($B$2:B745)/A745</f>
        <v>67.362045760430689</v>
      </c>
    </row>
    <row r="746" spans="1:3" x14ac:dyDescent="0.2">
      <c r="A746">
        <v>744</v>
      </c>
      <c r="B746">
        <f t="shared" si="12"/>
        <v>0</v>
      </c>
      <c r="C746">
        <f>SUM($B$2:B746)/A746</f>
        <v>67.271505376344081</v>
      </c>
    </row>
    <row r="747" spans="1:3" x14ac:dyDescent="0.2">
      <c r="A747">
        <v>745</v>
      </c>
      <c r="B747">
        <f t="shared" si="12"/>
        <v>0</v>
      </c>
      <c r="C747">
        <f>SUM($B$2:B747)/A747</f>
        <v>67.181208053691279</v>
      </c>
    </row>
    <row r="748" spans="1:3" x14ac:dyDescent="0.2">
      <c r="A748">
        <v>746</v>
      </c>
      <c r="B748">
        <f t="shared" si="12"/>
        <v>0</v>
      </c>
      <c r="C748">
        <f>SUM($B$2:B748)/A748</f>
        <v>67.091152815013402</v>
      </c>
    </row>
    <row r="749" spans="1:3" x14ac:dyDescent="0.2">
      <c r="A749">
        <v>747</v>
      </c>
      <c r="B749">
        <f t="shared" si="12"/>
        <v>0</v>
      </c>
      <c r="C749">
        <f>SUM($B$2:B749)/A749</f>
        <v>67.001338688085681</v>
      </c>
    </row>
    <row r="750" spans="1:3" x14ac:dyDescent="0.2">
      <c r="A750">
        <v>748</v>
      </c>
      <c r="B750">
        <f t="shared" si="12"/>
        <v>0</v>
      </c>
      <c r="C750">
        <f>SUM($B$2:B750)/A750</f>
        <v>66.911764705882348</v>
      </c>
    </row>
    <row r="751" spans="1:3" x14ac:dyDescent="0.2">
      <c r="A751">
        <v>749</v>
      </c>
      <c r="B751">
        <f t="shared" si="12"/>
        <v>0</v>
      </c>
      <c r="C751">
        <f>SUM($B$2:B751)/A751</f>
        <v>66.822429906542055</v>
      </c>
    </row>
    <row r="752" spans="1:3" x14ac:dyDescent="0.2">
      <c r="A752">
        <v>750</v>
      </c>
      <c r="B752">
        <f t="shared" si="12"/>
        <v>0</v>
      </c>
      <c r="C752">
        <f>SUM($B$2:B752)/A752</f>
        <v>66.733333333333334</v>
      </c>
    </row>
    <row r="753" spans="1:3" x14ac:dyDescent="0.2">
      <c r="A753">
        <v>751</v>
      </c>
      <c r="B753">
        <f t="shared" si="12"/>
        <v>0</v>
      </c>
      <c r="C753">
        <f>SUM($B$2:B753)/A753</f>
        <v>66.644474034620501</v>
      </c>
    </row>
    <row r="754" spans="1:3" x14ac:dyDescent="0.2">
      <c r="A754">
        <v>752</v>
      </c>
      <c r="B754">
        <f t="shared" si="12"/>
        <v>0</v>
      </c>
      <c r="C754">
        <f>SUM($B$2:B754)/A754</f>
        <v>66.555851063829792</v>
      </c>
    </row>
    <row r="755" spans="1:3" x14ac:dyDescent="0.2">
      <c r="A755">
        <v>753</v>
      </c>
      <c r="B755">
        <f t="shared" si="12"/>
        <v>0</v>
      </c>
      <c r="C755">
        <f>SUM($B$2:B755)/A755</f>
        <v>66.46746347941567</v>
      </c>
    </row>
    <row r="756" spans="1:3" x14ac:dyDescent="0.2">
      <c r="A756">
        <v>754</v>
      </c>
      <c r="B756">
        <f t="shared" si="12"/>
        <v>0</v>
      </c>
      <c r="C756">
        <f>SUM($B$2:B756)/A756</f>
        <v>66.379310344827587</v>
      </c>
    </row>
    <row r="757" spans="1:3" x14ac:dyDescent="0.2">
      <c r="A757">
        <v>755</v>
      </c>
      <c r="B757">
        <f t="shared" si="12"/>
        <v>0</v>
      </c>
      <c r="C757">
        <f>SUM($B$2:B757)/A757</f>
        <v>66.291390728476827</v>
      </c>
    </row>
    <row r="758" spans="1:3" x14ac:dyDescent="0.2">
      <c r="A758">
        <v>756</v>
      </c>
      <c r="B758">
        <f t="shared" si="12"/>
        <v>0</v>
      </c>
      <c r="C758">
        <f>SUM($B$2:B758)/A758</f>
        <v>66.203703703703709</v>
      </c>
    </row>
    <row r="759" spans="1:3" x14ac:dyDescent="0.2">
      <c r="A759">
        <v>757</v>
      </c>
      <c r="B759">
        <f t="shared" si="12"/>
        <v>0</v>
      </c>
      <c r="C759">
        <f>SUM($B$2:B759)/A759</f>
        <v>66.116248348745046</v>
      </c>
    </row>
    <row r="760" spans="1:3" x14ac:dyDescent="0.2">
      <c r="A760">
        <v>758</v>
      </c>
      <c r="B760">
        <f t="shared" si="12"/>
        <v>0</v>
      </c>
      <c r="C760">
        <f>SUM($B$2:B760)/A760</f>
        <v>66.029023746701853</v>
      </c>
    </row>
    <row r="761" spans="1:3" x14ac:dyDescent="0.2">
      <c r="A761">
        <v>759</v>
      </c>
      <c r="B761">
        <f t="shared" si="12"/>
        <v>0</v>
      </c>
      <c r="C761">
        <f>SUM($B$2:B761)/A761</f>
        <v>65.94202898550725</v>
      </c>
    </row>
    <row r="762" spans="1:3" x14ac:dyDescent="0.2">
      <c r="A762">
        <v>760</v>
      </c>
      <c r="B762">
        <f t="shared" si="12"/>
        <v>0</v>
      </c>
      <c r="C762">
        <f>SUM($B$2:B762)/A762</f>
        <v>65.85526315789474</v>
      </c>
    </row>
    <row r="763" spans="1:3" x14ac:dyDescent="0.2">
      <c r="A763">
        <v>761</v>
      </c>
      <c r="B763">
        <f t="shared" si="12"/>
        <v>0</v>
      </c>
      <c r="C763">
        <f>SUM($B$2:B763)/A763</f>
        <v>65.76872536136662</v>
      </c>
    </row>
    <row r="764" spans="1:3" x14ac:dyDescent="0.2">
      <c r="A764">
        <v>762</v>
      </c>
      <c r="B764">
        <f t="shared" si="12"/>
        <v>0</v>
      </c>
      <c r="C764">
        <f>SUM($B$2:B764)/A764</f>
        <v>65.682414698162731</v>
      </c>
    </row>
    <row r="765" spans="1:3" x14ac:dyDescent="0.2">
      <c r="A765">
        <v>763</v>
      </c>
      <c r="B765">
        <f t="shared" si="12"/>
        <v>0</v>
      </c>
      <c r="C765">
        <f>SUM($B$2:B765)/A765</f>
        <v>65.596330275229363</v>
      </c>
    </row>
    <row r="766" spans="1:3" x14ac:dyDescent="0.2">
      <c r="A766">
        <v>764</v>
      </c>
      <c r="B766">
        <f t="shared" si="12"/>
        <v>0</v>
      </c>
      <c r="C766">
        <f>SUM($B$2:B766)/A766</f>
        <v>65.510471204188477</v>
      </c>
    </row>
    <row r="767" spans="1:3" x14ac:dyDescent="0.2">
      <c r="A767">
        <v>765</v>
      </c>
      <c r="B767">
        <f t="shared" si="12"/>
        <v>0</v>
      </c>
      <c r="C767">
        <f>SUM($B$2:B767)/A767</f>
        <v>65.424836601307192</v>
      </c>
    </row>
    <row r="768" spans="1:3" x14ac:dyDescent="0.2">
      <c r="A768">
        <v>766</v>
      </c>
      <c r="B768">
        <f t="shared" si="12"/>
        <v>0</v>
      </c>
      <c r="C768">
        <f>SUM($B$2:B768)/A768</f>
        <v>65.33942558746736</v>
      </c>
    </row>
    <row r="769" spans="1:3" x14ac:dyDescent="0.2">
      <c r="A769">
        <v>767</v>
      </c>
      <c r="B769">
        <f t="shared" si="12"/>
        <v>0</v>
      </c>
      <c r="C769">
        <f>SUM($B$2:B769)/A769</f>
        <v>65.254237288135599</v>
      </c>
    </row>
    <row r="770" spans="1:3" x14ac:dyDescent="0.2">
      <c r="A770">
        <v>768</v>
      </c>
      <c r="B770">
        <f t="shared" si="12"/>
        <v>0</v>
      </c>
      <c r="C770">
        <f>SUM($B$2:B770)/A770</f>
        <v>65.169270833333329</v>
      </c>
    </row>
    <row r="771" spans="1:3" x14ac:dyDescent="0.2">
      <c r="A771">
        <v>769</v>
      </c>
      <c r="B771">
        <f t="shared" si="12"/>
        <v>0</v>
      </c>
      <c r="C771">
        <f>SUM($B$2:B771)/A771</f>
        <v>65.084525357607276</v>
      </c>
    </row>
    <row r="772" spans="1:3" x14ac:dyDescent="0.2">
      <c r="A772">
        <v>770</v>
      </c>
      <c r="B772">
        <f t="shared" si="12"/>
        <v>0</v>
      </c>
      <c r="C772">
        <f>SUM($B$2:B772)/A772</f>
        <v>65</v>
      </c>
    </row>
    <row r="773" spans="1:3" x14ac:dyDescent="0.2">
      <c r="A773">
        <v>771</v>
      </c>
      <c r="B773">
        <f t="shared" ref="B773:B836" si="13">IF((A772-IF(A772+1/120&gt;1,ROUNDDOWN(A772/120,0)*120,0))/20&lt;1,ROUNDDOWN((A772-120*ROUNDDOWN(A772/120,0))/2,0)*65+65,0)</f>
        <v>0</v>
      </c>
      <c r="C773">
        <f>SUM($B$2:B773)/A773</f>
        <v>64.915693904020756</v>
      </c>
    </row>
    <row r="774" spans="1:3" x14ac:dyDescent="0.2">
      <c r="A774">
        <v>772</v>
      </c>
      <c r="B774">
        <f t="shared" si="13"/>
        <v>0</v>
      </c>
      <c r="C774">
        <f>SUM($B$2:B774)/A774</f>
        <v>64.831606217616581</v>
      </c>
    </row>
    <row r="775" spans="1:3" x14ac:dyDescent="0.2">
      <c r="A775">
        <v>773</v>
      </c>
      <c r="B775">
        <f t="shared" si="13"/>
        <v>0</v>
      </c>
      <c r="C775">
        <f>SUM($B$2:B775)/A775</f>
        <v>64.747736093143601</v>
      </c>
    </row>
    <row r="776" spans="1:3" x14ac:dyDescent="0.2">
      <c r="A776">
        <v>774</v>
      </c>
      <c r="B776">
        <f t="shared" si="13"/>
        <v>0</v>
      </c>
      <c r="C776">
        <f>SUM($B$2:B776)/A776</f>
        <v>64.664082687338507</v>
      </c>
    </row>
    <row r="777" spans="1:3" x14ac:dyDescent="0.2">
      <c r="A777">
        <v>775</v>
      </c>
      <c r="B777">
        <f t="shared" si="13"/>
        <v>0</v>
      </c>
      <c r="C777">
        <f>SUM($B$2:B777)/A777</f>
        <v>64.58064516129032</v>
      </c>
    </row>
    <row r="778" spans="1:3" x14ac:dyDescent="0.2">
      <c r="A778">
        <v>776</v>
      </c>
      <c r="B778">
        <f t="shared" si="13"/>
        <v>0</v>
      </c>
      <c r="C778">
        <f>SUM($B$2:B778)/A778</f>
        <v>64.49742268041237</v>
      </c>
    </row>
    <row r="779" spans="1:3" x14ac:dyDescent="0.2">
      <c r="A779">
        <v>777</v>
      </c>
      <c r="B779">
        <f t="shared" si="13"/>
        <v>0</v>
      </c>
      <c r="C779">
        <f>SUM($B$2:B779)/A779</f>
        <v>64.414414414414409</v>
      </c>
    </row>
    <row r="780" spans="1:3" x14ac:dyDescent="0.2">
      <c r="A780">
        <v>778</v>
      </c>
      <c r="B780">
        <f t="shared" si="13"/>
        <v>0</v>
      </c>
      <c r="C780">
        <f>SUM($B$2:B780)/A780</f>
        <v>64.33161953727506</v>
      </c>
    </row>
    <row r="781" spans="1:3" x14ac:dyDescent="0.2">
      <c r="A781">
        <v>779</v>
      </c>
      <c r="B781">
        <f t="shared" si="13"/>
        <v>0</v>
      </c>
      <c r="C781">
        <f>SUM($B$2:B781)/A781</f>
        <v>64.249037227214373</v>
      </c>
    </row>
    <row r="782" spans="1:3" x14ac:dyDescent="0.2">
      <c r="A782">
        <v>780</v>
      </c>
      <c r="B782">
        <f t="shared" si="13"/>
        <v>0</v>
      </c>
      <c r="C782">
        <f>SUM($B$2:B782)/A782</f>
        <v>64.166666666666671</v>
      </c>
    </row>
    <row r="783" spans="1:3" x14ac:dyDescent="0.2">
      <c r="A783">
        <v>781</v>
      </c>
      <c r="B783">
        <f t="shared" si="13"/>
        <v>0</v>
      </c>
      <c r="C783">
        <f>SUM($B$2:B783)/A783</f>
        <v>64.08450704225352</v>
      </c>
    </row>
    <row r="784" spans="1:3" x14ac:dyDescent="0.2">
      <c r="A784">
        <v>782</v>
      </c>
      <c r="B784">
        <f t="shared" si="13"/>
        <v>0</v>
      </c>
      <c r="C784">
        <f>SUM($B$2:B784)/A784</f>
        <v>64.002557544757039</v>
      </c>
    </row>
    <row r="785" spans="1:3" x14ac:dyDescent="0.2">
      <c r="A785">
        <v>783</v>
      </c>
      <c r="B785">
        <f t="shared" si="13"/>
        <v>0</v>
      </c>
      <c r="C785">
        <f>SUM($B$2:B785)/A785</f>
        <v>63.920817369093228</v>
      </c>
    </row>
    <row r="786" spans="1:3" x14ac:dyDescent="0.2">
      <c r="A786">
        <v>784</v>
      </c>
      <c r="B786">
        <f t="shared" si="13"/>
        <v>0</v>
      </c>
      <c r="C786">
        <f>SUM($B$2:B786)/A786</f>
        <v>63.839285714285715</v>
      </c>
    </row>
    <row r="787" spans="1:3" x14ac:dyDescent="0.2">
      <c r="A787">
        <v>785</v>
      </c>
      <c r="B787">
        <f t="shared" si="13"/>
        <v>0</v>
      </c>
      <c r="C787">
        <f>SUM($B$2:B787)/A787</f>
        <v>63.757961783439491</v>
      </c>
    </row>
    <row r="788" spans="1:3" x14ac:dyDescent="0.2">
      <c r="A788">
        <v>786</v>
      </c>
      <c r="B788">
        <f t="shared" si="13"/>
        <v>0</v>
      </c>
      <c r="C788">
        <f>SUM($B$2:B788)/A788</f>
        <v>63.676844783715012</v>
      </c>
    </row>
    <row r="789" spans="1:3" x14ac:dyDescent="0.2">
      <c r="A789">
        <v>787</v>
      </c>
      <c r="B789">
        <f t="shared" si="13"/>
        <v>0</v>
      </c>
      <c r="C789">
        <f>SUM($B$2:B789)/A789</f>
        <v>63.595933926302415</v>
      </c>
    </row>
    <row r="790" spans="1:3" x14ac:dyDescent="0.2">
      <c r="A790">
        <v>788</v>
      </c>
      <c r="B790">
        <f t="shared" si="13"/>
        <v>0</v>
      </c>
      <c r="C790">
        <f>SUM($B$2:B790)/A790</f>
        <v>63.515228426395936</v>
      </c>
    </row>
    <row r="791" spans="1:3" x14ac:dyDescent="0.2">
      <c r="A791">
        <v>789</v>
      </c>
      <c r="B791">
        <f t="shared" si="13"/>
        <v>0</v>
      </c>
      <c r="C791">
        <f>SUM($B$2:B791)/A791</f>
        <v>63.434727503168567</v>
      </c>
    </row>
    <row r="792" spans="1:3" x14ac:dyDescent="0.2">
      <c r="A792">
        <v>790</v>
      </c>
      <c r="B792">
        <f t="shared" si="13"/>
        <v>0</v>
      </c>
      <c r="C792">
        <f>SUM($B$2:B792)/A792</f>
        <v>63.354430379746837</v>
      </c>
    </row>
    <row r="793" spans="1:3" x14ac:dyDescent="0.2">
      <c r="A793">
        <v>791</v>
      </c>
      <c r="B793">
        <f t="shared" si="13"/>
        <v>0</v>
      </c>
      <c r="C793">
        <f>SUM($B$2:B793)/A793</f>
        <v>63.274336283185839</v>
      </c>
    </row>
    <row r="794" spans="1:3" x14ac:dyDescent="0.2">
      <c r="A794">
        <v>792</v>
      </c>
      <c r="B794">
        <f t="shared" si="13"/>
        <v>0</v>
      </c>
      <c r="C794">
        <f>SUM($B$2:B794)/A794</f>
        <v>63.194444444444443</v>
      </c>
    </row>
    <row r="795" spans="1:3" x14ac:dyDescent="0.2">
      <c r="A795">
        <v>793</v>
      </c>
      <c r="B795">
        <f t="shared" si="13"/>
        <v>0</v>
      </c>
      <c r="C795">
        <f>SUM($B$2:B795)/A795</f>
        <v>63.114754098360656</v>
      </c>
    </row>
    <row r="796" spans="1:3" x14ac:dyDescent="0.2">
      <c r="A796">
        <v>794</v>
      </c>
      <c r="B796">
        <f t="shared" si="13"/>
        <v>0</v>
      </c>
      <c r="C796">
        <f>SUM($B$2:B796)/A796</f>
        <v>63.035264483627202</v>
      </c>
    </row>
    <row r="797" spans="1:3" x14ac:dyDescent="0.2">
      <c r="A797">
        <v>795</v>
      </c>
      <c r="B797">
        <f t="shared" si="13"/>
        <v>0</v>
      </c>
      <c r="C797">
        <f>SUM($B$2:B797)/A797</f>
        <v>62.955974842767297</v>
      </c>
    </row>
    <row r="798" spans="1:3" x14ac:dyDescent="0.2">
      <c r="A798">
        <v>796</v>
      </c>
      <c r="B798">
        <f t="shared" si="13"/>
        <v>0</v>
      </c>
      <c r="C798">
        <f>SUM($B$2:B798)/A798</f>
        <v>62.87688442211055</v>
      </c>
    </row>
    <row r="799" spans="1:3" x14ac:dyDescent="0.2">
      <c r="A799">
        <v>797</v>
      </c>
      <c r="B799">
        <f t="shared" si="13"/>
        <v>0</v>
      </c>
      <c r="C799">
        <f>SUM($B$2:B799)/A799</f>
        <v>62.797992471769135</v>
      </c>
    </row>
    <row r="800" spans="1:3" x14ac:dyDescent="0.2">
      <c r="A800">
        <v>798</v>
      </c>
      <c r="B800">
        <f t="shared" si="13"/>
        <v>0</v>
      </c>
      <c r="C800">
        <f>SUM($B$2:B800)/A800</f>
        <v>62.719298245614034</v>
      </c>
    </row>
    <row r="801" spans="1:3" x14ac:dyDescent="0.2">
      <c r="A801">
        <v>799</v>
      </c>
      <c r="B801">
        <f t="shared" si="13"/>
        <v>0</v>
      </c>
      <c r="C801">
        <f>SUM($B$2:B801)/A801</f>
        <v>62.640801001251567</v>
      </c>
    </row>
    <row r="802" spans="1:3" x14ac:dyDescent="0.2">
      <c r="A802">
        <v>800</v>
      </c>
      <c r="B802">
        <f t="shared" si="13"/>
        <v>0</v>
      </c>
      <c r="C802">
        <f>SUM($B$2:B802)/A802</f>
        <v>62.5625</v>
      </c>
    </row>
    <row r="803" spans="1:3" x14ac:dyDescent="0.2">
      <c r="A803">
        <v>801</v>
      </c>
      <c r="B803">
        <f t="shared" si="13"/>
        <v>0</v>
      </c>
      <c r="C803">
        <f>SUM($B$2:B803)/A803</f>
        <v>62.484394506866415</v>
      </c>
    </row>
    <row r="804" spans="1:3" x14ac:dyDescent="0.2">
      <c r="A804">
        <v>802</v>
      </c>
      <c r="B804">
        <f t="shared" si="13"/>
        <v>0</v>
      </c>
      <c r="C804">
        <f>SUM($B$2:B804)/A804</f>
        <v>62.406483790523694</v>
      </c>
    </row>
    <row r="805" spans="1:3" x14ac:dyDescent="0.2">
      <c r="A805">
        <v>803</v>
      </c>
      <c r="B805">
        <f t="shared" si="13"/>
        <v>0</v>
      </c>
      <c r="C805">
        <f>SUM($B$2:B805)/A805</f>
        <v>62.328767123287669</v>
      </c>
    </row>
    <row r="806" spans="1:3" x14ac:dyDescent="0.2">
      <c r="A806">
        <v>804</v>
      </c>
      <c r="B806">
        <f t="shared" si="13"/>
        <v>0</v>
      </c>
      <c r="C806">
        <f>SUM($B$2:B806)/A806</f>
        <v>62.25124378109453</v>
      </c>
    </row>
    <row r="807" spans="1:3" x14ac:dyDescent="0.2">
      <c r="A807">
        <v>805</v>
      </c>
      <c r="B807">
        <f t="shared" si="13"/>
        <v>0</v>
      </c>
      <c r="C807">
        <f>SUM($B$2:B807)/A807</f>
        <v>62.173913043478258</v>
      </c>
    </row>
    <row r="808" spans="1:3" x14ac:dyDescent="0.2">
      <c r="A808">
        <v>806</v>
      </c>
      <c r="B808">
        <f t="shared" si="13"/>
        <v>0</v>
      </c>
      <c r="C808">
        <f>SUM($B$2:B808)/A808</f>
        <v>62.096774193548384</v>
      </c>
    </row>
    <row r="809" spans="1:3" x14ac:dyDescent="0.2">
      <c r="A809">
        <v>807</v>
      </c>
      <c r="B809">
        <f t="shared" si="13"/>
        <v>0</v>
      </c>
      <c r="C809">
        <f>SUM($B$2:B809)/A809</f>
        <v>62.019826517967779</v>
      </c>
    </row>
    <row r="810" spans="1:3" x14ac:dyDescent="0.2">
      <c r="A810">
        <v>808</v>
      </c>
      <c r="B810">
        <f t="shared" si="13"/>
        <v>0</v>
      </c>
      <c r="C810">
        <f>SUM($B$2:B810)/A810</f>
        <v>61.943069306930695</v>
      </c>
    </row>
    <row r="811" spans="1:3" x14ac:dyDescent="0.2">
      <c r="A811">
        <v>809</v>
      </c>
      <c r="B811">
        <f t="shared" si="13"/>
        <v>0</v>
      </c>
      <c r="C811">
        <f>SUM($B$2:B811)/A811</f>
        <v>61.866501854140914</v>
      </c>
    </row>
    <row r="812" spans="1:3" x14ac:dyDescent="0.2">
      <c r="A812">
        <v>810</v>
      </c>
      <c r="B812">
        <f t="shared" si="13"/>
        <v>0</v>
      </c>
      <c r="C812">
        <f>SUM($B$2:B812)/A812</f>
        <v>61.790123456790127</v>
      </c>
    </row>
    <row r="813" spans="1:3" x14ac:dyDescent="0.2">
      <c r="A813">
        <v>811</v>
      </c>
      <c r="B813">
        <f t="shared" si="13"/>
        <v>0</v>
      </c>
      <c r="C813">
        <f>SUM($B$2:B813)/A813</f>
        <v>61.713933415536374</v>
      </c>
    </row>
    <row r="814" spans="1:3" x14ac:dyDescent="0.2">
      <c r="A814">
        <v>812</v>
      </c>
      <c r="B814">
        <f t="shared" si="13"/>
        <v>0</v>
      </c>
      <c r="C814">
        <f>SUM($B$2:B814)/A814</f>
        <v>61.637931034482762</v>
      </c>
    </row>
    <row r="815" spans="1:3" x14ac:dyDescent="0.2">
      <c r="A815">
        <v>813</v>
      </c>
      <c r="B815">
        <f t="shared" si="13"/>
        <v>0</v>
      </c>
      <c r="C815">
        <f>SUM($B$2:B815)/A815</f>
        <v>61.562115621156209</v>
      </c>
    </row>
    <row r="816" spans="1:3" x14ac:dyDescent="0.2">
      <c r="A816">
        <v>814</v>
      </c>
      <c r="B816">
        <f t="shared" si="13"/>
        <v>0</v>
      </c>
      <c r="C816">
        <f>SUM($B$2:B816)/A816</f>
        <v>61.486486486486484</v>
      </c>
    </row>
    <row r="817" spans="1:3" x14ac:dyDescent="0.2">
      <c r="A817">
        <v>815</v>
      </c>
      <c r="B817">
        <f t="shared" si="13"/>
        <v>0</v>
      </c>
      <c r="C817">
        <f>SUM($B$2:B817)/A817</f>
        <v>61.411042944785279</v>
      </c>
    </row>
    <row r="818" spans="1:3" x14ac:dyDescent="0.2">
      <c r="A818">
        <v>816</v>
      </c>
      <c r="B818">
        <f t="shared" si="13"/>
        <v>0</v>
      </c>
      <c r="C818">
        <f>SUM($B$2:B818)/A818</f>
        <v>61.33578431372549</v>
      </c>
    </row>
    <row r="819" spans="1:3" x14ac:dyDescent="0.2">
      <c r="A819">
        <v>817</v>
      </c>
      <c r="B819">
        <f t="shared" si="13"/>
        <v>0</v>
      </c>
      <c r="C819">
        <f>SUM($B$2:B819)/A819</f>
        <v>61.260709914320685</v>
      </c>
    </row>
    <row r="820" spans="1:3" x14ac:dyDescent="0.2">
      <c r="A820">
        <v>818</v>
      </c>
      <c r="B820">
        <f t="shared" si="13"/>
        <v>0</v>
      </c>
      <c r="C820">
        <f>SUM($B$2:B820)/A820</f>
        <v>61.185819070904643</v>
      </c>
    </row>
    <row r="821" spans="1:3" x14ac:dyDescent="0.2">
      <c r="A821">
        <v>819</v>
      </c>
      <c r="B821">
        <f t="shared" si="13"/>
        <v>0</v>
      </c>
      <c r="C821">
        <f>SUM($B$2:B821)/A821</f>
        <v>61.111111111111114</v>
      </c>
    </row>
    <row r="822" spans="1:3" x14ac:dyDescent="0.2">
      <c r="A822">
        <v>820</v>
      </c>
      <c r="B822">
        <f t="shared" si="13"/>
        <v>0</v>
      </c>
      <c r="C822">
        <f>SUM($B$2:B822)/A822</f>
        <v>61.036585365853661</v>
      </c>
    </row>
    <row r="823" spans="1:3" x14ac:dyDescent="0.2">
      <c r="A823">
        <v>821</v>
      </c>
      <c r="B823">
        <f t="shared" si="13"/>
        <v>0</v>
      </c>
      <c r="C823">
        <f>SUM($B$2:B823)/A823</f>
        <v>60.962241169305727</v>
      </c>
    </row>
    <row r="824" spans="1:3" x14ac:dyDescent="0.2">
      <c r="A824">
        <v>822</v>
      </c>
      <c r="B824">
        <f t="shared" si="13"/>
        <v>0</v>
      </c>
      <c r="C824">
        <f>SUM($B$2:B824)/A824</f>
        <v>60.888077858880777</v>
      </c>
    </row>
    <row r="825" spans="1:3" x14ac:dyDescent="0.2">
      <c r="A825">
        <v>823</v>
      </c>
      <c r="B825">
        <f t="shared" si="13"/>
        <v>0</v>
      </c>
      <c r="C825">
        <f>SUM($B$2:B825)/A825</f>
        <v>60.814094775212638</v>
      </c>
    </row>
    <row r="826" spans="1:3" x14ac:dyDescent="0.2">
      <c r="A826">
        <v>824</v>
      </c>
      <c r="B826">
        <f t="shared" si="13"/>
        <v>0</v>
      </c>
      <c r="C826">
        <f>SUM($B$2:B826)/A826</f>
        <v>60.740291262135919</v>
      </c>
    </row>
    <row r="827" spans="1:3" x14ac:dyDescent="0.2">
      <c r="A827">
        <v>825</v>
      </c>
      <c r="B827">
        <f t="shared" si="13"/>
        <v>0</v>
      </c>
      <c r="C827">
        <f>SUM($B$2:B827)/A827</f>
        <v>60.666666666666664</v>
      </c>
    </row>
    <row r="828" spans="1:3" x14ac:dyDescent="0.2">
      <c r="A828">
        <v>826</v>
      </c>
      <c r="B828">
        <f t="shared" si="13"/>
        <v>0</v>
      </c>
      <c r="C828">
        <f>SUM($B$2:B828)/A828</f>
        <v>60.593220338983052</v>
      </c>
    </row>
    <row r="829" spans="1:3" x14ac:dyDescent="0.2">
      <c r="A829">
        <v>827</v>
      </c>
      <c r="B829">
        <f t="shared" si="13"/>
        <v>0</v>
      </c>
      <c r="C829">
        <f>SUM($B$2:B829)/A829</f>
        <v>60.51995163240629</v>
      </c>
    </row>
    <row r="830" spans="1:3" x14ac:dyDescent="0.2">
      <c r="A830">
        <v>828</v>
      </c>
      <c r="B830">
        <f t="shared" si="13"/>
        <v>0</v>
      </c>
      <c r="C830">
        <f>SUM($B$2:B830)/A830</f>
        <v>60.446859903381643</v>
      </c>
    </row>
    <row r="831" spans="1:3" x14ac:dyDescent="0.2">
      <c r="A831">
        <v>829</v>
      </c>
      <c r="B831">
        <f t="shared" si="13"/>
        <v>0</v>
      </c>
      <c r="C831">
        <f>SUM($B$2:B831)/A831</f>
        <v>60.373944511459591</v>
      </c>
    </row>
    <row r="832" spans="1:3" x14ac:dyDescent="0.2">
      <c r="A832">
        <v>830</v>
      </c>
      <c r="B832">
        <f t="shared" si="13"/>
        <v>0</v>
      </c>
      <c r="C832">
        <f>SUM($B$2:B832)/A832</f>
        <v>60.30120481927711</v>
      </c>
    </row>
    <row r="833" spans="1:3" x14ac:dyDescent="0.2">
      <c r="A833">
        <v>831</v>
      </c>
      <c r="B833">
        <f t="shared" si="13"/>
        <v>0</v>
      </c>
      <c r="C833">
        <f>SUM($B$2:B833)/A833</f>
        <v>60.22864019253911</v>
      </c>
    </row>
    <row r="834" spans="1:3" x14ac:dyDescent="0.2">
      <c r="A834">
        <v>832</v>
      </c>
      <c r="B834">
        <f t="shared" si="13"/>
        <v>0</v>
      </c>
      <c r="C834">
        <f>SUM($B$2:B834)/A834</f>
        <v>60.15625</v>
      </c>
    </row>
    <row r="835" spans="1:3" x14ac:dyDescent="0.2">
      <c r="A835">
        <v>833</v>
      </c>
      <c r="B835">
        <f t="shared" si="13"/>
        <v>0</v>
      </c>
      <c r="C835">
        <f>SUM($B$2:B835)/A835</f>
        <v>60.084033613445378</v>
      </c>
    </row>
    <row r="836" spans="1:3" x14ac:dyDescent="0.2">
      <c r="A836">
        <v>834</v>
      </c>
      <c r="B836">
        <f t="shared" si="13"/>
        <v>0</v>
      </c>
      <c r="C836">
        <f>SUM($B$2:B836)/A836</f>
        <v>60.011990407673864</v>
      </c>
    </row>
    <row r="837" spans="1:3" x14ac:dyDescent="0.2">
      <c r="A837">
        <v>835</v>
      </c>
      <c r="B837">
        <f t="shared" ref="B837:B900" si="14">IF((A836-IF(A836+1/120&gt;1,ROUNDDOWN(A836/120,0)*120,0))/20&lt;1,ROUNDDOWN((A836-120*ROUNDDOWN(A836/120,0))/2,0)*65+65,0)</f>
        <v>0</v>
      </c>
      <c r="C837">
        <f>SUM($B$2:B837)/A837</f>
        <v>59.940119760479043</v>
      </c>
    </row>
    <row r="838" spans="1:3" x14ac:dyDescent="0.2">
      <c r="A838">
        <v>836</v>
      </c>
      <c r="B838">
        <f t="shared" si="14"/>
        <v>0</v>
      </c>
      <c r="C838">
        <f>SUM($B$2:B838)/A838</f>
        <v>59.868421052631582</v>
      </c>
    </row>
    <row r="839" spans="1:3" x14ac:dyDescent="0.2">
      <c r="A839">
        <v>837</v>
      </c>
      <c r="B839">
        <f t="shared" si="14"/>
        <v>0</v>
      </c>
      <c r="C839">
        <f>SUM($B$2:B839)/A839</f>
        <v>59.796893667861411</v>
      </c>
    </row>
    <row r="840" spans="1:3" x14ac:dyDescent="0.2">
      <c r="A840">
        <v>838</v>
      </c>
      <c r="B840">
        <f t="shared" si="14"/>
        <v>0</v>
      </c>
      <c r="C840">
        <f>SUM($B$2:B840)/A840</f>
        <v>59.725536992840098</v>
      </c>
    </row>
    <row r="841" spans="1:3" x14ac:dyDescent="0.2">
      <c r="A841">
        <v>839</v>
      </c>
      <c r="B841">
        <f t="shared" si="14"/>
        <v>0</v>
      </c>
      <c r="C841">
        <f>SUM($B$2:B841)/A841</f>
        <v>59.654350417163286</v>
      </c>
    </row>
    <row r="842" spans="1:3" x14ac:dyDescent="0.2">
      <c r="A842">
        <v>840</v>
      </c>
      <c r="B842">
        <f t="shared" si="14"/>
        <v>0</v>
      </c>
      <c r="C842">
        <f>SUM($B$2:B842)/A842</f>
        <v>59.583333333333336</v>
      </c>
    </row>
    <row r="843" spans="1:3" x14ac:dyDescent="0.2">
      <c r="A843">
        <v>841</v>
      </c>
      <c r="B843">
        <f t="shared" si="14"/>
        <v>65</v>
      </c>
      <c r="C843">
        <f>SUM($B$2:B843)/A843</f>
        <v>59.589774078478001</v>
      </c>
    </row>
    <row r="844" spans="1:3" x14ac:dyDescent="0.2">
      <c r="A844">
        <v>842</v>
      </c>
      <c r="B844">
        <f t="shared" si="14"/>
        <v>65</v>
      </c>
      <c r="C844">
        <f>SUM($B$2:B844)/A844</f>
        <v>59.596199524940616</v>
      </c>
    </row>
    <row r="845" spans="1:3" x14ac:dyDescent="0.2">
      <c r="A845">
        <v>843</v>
      </c>
      <c r="B845">
        <f t="shared" si="14"/>
        <v>130</v>
      </c>
      <c r="C845">
        <f>SUM($B$2:B845)/A845</f>
        <v>59.679715302491104</v>
      </c>
    </row>
    <row r="846" spans="1:3" x14ac:dyDescent="0.2">
      <c r="A846">
        <v>844</v>
      </c>
      <c r="B846">
        <f t="shared" si="14"/>
        <v>130</v>
      </c>
      <c r="C846">
        <f>SUM($B$2:B846)/A846</f>
        <v>59.763033175355453</v>
      </c>
    </row>
    <row r="847" spans="1:3" x14ac:dyDescent="0.2">
      <c r="A847">
        <v>845</v>
      </c>
      <c r="B847">
        <f t="shared" si="14"/>
        <v>195</v>
      </c>
      <c r="C847">
        <f>SUM($B$2:B847)/A847</f>
        <v>59.92307692307692</v>
      </c>
    </row>
    <row r="848" spans="1:3" x14ac:dyDescent="0.2">
      <c r="A848">
        <v>846</v>
      </c>
      <c r="B848">
        <f t="shared" si="14"/>
        <v>195</v>
      </c>
      <c r="C848">
        <f>SUM($B$2:B848)/A848</f>
        <v>60.082742316784866</v>
      </c>
    </row>
    <row r="849" spans="1:3" x14ac:dyDescent="0.2">
      <c r="A849">
        <v>847</v>
      </c>
      <c r="B849">
        <f t="shared" si="14"/>
        <v>260</v>
      </c>
      <c r="C849">
        <f>SUM($B$2:B849)/A849</f>
        <v>60.318772136953953</v>
      </c>
    </row>
    <row r="850" spans="1:3" x14ac:dyDescent="0.2">
      <c r="A850">
        <v>848</v>
      </c>
      <c r="B850">
        <f t="shared" si="14"/>
        <v>260</v>
      </c>
      <c r="C850">
        <f>SUM($B$2:B850)/A850</f>
        <v>60.554245283018865</v>
      </c>
    </row>
    <row r="851" spans="1:3" x14ac:dyDescent="0.2">
      <c r="A851">
        <v>849</v>
      </c>
      <c r="B851">
        <f t="shared" si="14"/>
        <v>325</v>
      </c>
      <c r="C851">
        <f>SUM($B$2:B851)/A851</f>
        <v>60.865724381625441</v>
      </c>
    </row>
    <row r="852" spans="1:3" x14ac:dyDescent="0.2">
      <c r="A852">
        <v>850</v>
      </c>
      <c r="B852">
        <f t="shared" si="14"/>
        <v>325</v>
      </c>
      <c r="C852">
        <f>SUM($B$2:B852)/A852</f>
        <v>61.176470588235297</v>
      </c>
    </row>
    <row r="853" spans="1:3" x14ac:dyDescent="0.2">
      <c r="A853">
        <v>851</v>
      </c>
      <c r="B853">
        <f t="shared" si="14"/>
        <v>390</v>
      </c>
      <c r="C853">
        <f>SUM($B$2:B853)/A853</f>
        <v>61.56286721504113</v>
      </c>
    </row>
    <row r="854" spans="1:3" x14ac:dyDescent="0.2">
      <c r="A854">
        <v>852</v>
      </c>
      <c r="B854">
        <f t="shared" si="14"/>
        <v>390</v>
      </c>
      <c r="C854">
        <f>SUM($B$2:B854)/A854</f>
        <v>61.948356807511736</v>
      </c>
    </row>
    <row r="855" spans="1:3" x14ac:dyDescent="0.2">
      <c r="A855">
        <v>853</v>
      </c>
      <c r="B855">
        <f t="shared" si="14"/>
        <v>455</v>
      </c>
      <c r="C855">
        <f>SUM($B$2:B855)/A855</f>
        <v>62.409144196951935</v>
      </c>
    </row>
    <row r="856" spans="1:3" x14ac:dyDescent="0.2">
      <c r="A856">
        <v>854</v>
      </c>
      <c r="B856">
        <f t="shared" si="14"/>
        <v>455</v>
      </c>
      <c r="C856">
        <f>SUM($B$2:B856)/A856</f>
        <v>62.868852459016395</v>
      </c>
    </row>
    <row r="857" spans="1:3" x14ac:dyDescent="0.2">
      <c r="A857">
        <v>855</v>
      </c>
      <c r="B857">
        <f t="shared" si="14"/>
        <v>520</v>
      </c>
      <c r="C857">
        <f>SUM($B$2:B857)/A857</f>
        <v>63.403508771929822</v>
      </c>
    </row>
    <row r="858" spans="1:3" x14ac:dyDescent="0.2">
      <c r="A858">
        <v>856</v>
      </c>
      <c r="B858">
        <f t="shared" si="14"/>
        <v>520</v>
      </c>
      <c r="C858">
        <f>SUM($B$2:B858)/A858</f>
        <v>63.936915887850468</v>
      </c>
    </row>
    <row r="859" spans="1:3" x14ac:dyDescent="0.2">
      <c r="A859">
        <v>857</v>
      </c>
      <c r="B859">
        <f t="shared" si="14"/>
        <v>585</v>
      </c>
      <c r="C859">
        <f>SUM($B$2:B859)/A859</f>
        <v>64.544924154025665</v>
      </c>
    </row>
    <row r="860" spans="1:3" x14ac:dyDescent="0.2">
      <c r="A860">
        <v>858</v>
      </c>
      <c r="B860">
        <f t="shared" si="14"/>
        <v>585</v>
      </c>
      <c r="C860">
        <f>SUM($B$2:B860)/A860</f>
        <v>65.151515151515156</v>
      </c>
    </row>
    <row r="861" spans="1:3" x14ac:dyDescent="0.2">
      <c r="A861">
        <v>859</v>
      </c>
      <c r="B861">
        <f t="shared" si="14"/>
        <v>650</v>
      </c>
      <c r="C861">
        <f>SUM($B$2:B861)/A861</f>
        <v>65.83236321303842</v>
      </c>
    </row>
    <row r="862" spans="1:3" x14ac:dyDescent="0.2">
      <c r="A862">
        <v>860</v>
      </c>
      <c r="B862">
        <f t="shared" si="14"/>
        <v>650</v>
      </c>
      <c r="C862">
        <f>SUM($B$2:B862)/A862</f>
        <v>66.511627906976742</v>
      </c>
    </row>
    <row r="863" spans="1:3" x14ac:dyDescent="0.2">
      <c r="A863">
        <v>861</v>
      </c>
      <c r="B863">
        <f t="shared" si="14"/>
        <v>0</v>
      </c>
      <c r="C863">
        <f>SUM($B$2:B863)/A863</f>
        <v>66.434378629500586</v>
      </c>
    </row>
    <row r="864" spans="1:3" x14ac:dyDescent="0.2">
      <c r="A864">
        <v>862</v>
      </c>
      <c r="B864">
        <f t="shared" si="14"/>
        <v>0</v>
      </c>
      <c r="C864">
        <f>SUM($B$2:B864)/A864</f>
        <v>66.357308584686777</v>
      </c>
    </row>
    <row r="865" spans="1:3" x14ac:dyDescent="0.2">
      <c r="A865">
        <v>863</v>
      </c>
      <c r="B865">
        <f t="shared" si="14"/>
        <v>0</v>
      </c>
      <c r="C865">
        <f>SUM($B$2:B865)/A865</f>
        <v>66.280417149478566</v>
      </c>
    </row>
    <row r="866" spans="1:3" x14ac:dyDescent="0.2">
      <c r="A866">
        <v>864</v>
      </c>
      <c r="B866">
        <f t="shared" si="14"/>
        <v>0</v>
      </c>
      <c r="C866">
        <f>SUM($B$2:B866)/A866</f>
        <v>66.203703703703709</v>
      </c>
    </row>
    <row r="867" spans="1:3" x14ac:dyDescent="0.2">
      <c r="A867">
        <v>865</v>
      </c>
      <c r="B867">
        <f t="shared" si="14"/>
        <v>0</v>
      </c>
      <c r="C867">
        <f>SUM($B$2:B867)/A867</f>
        <v>66.127167630057798</v>
      </c>
    </row>
    <row r="868" spans="1:3" x14ac:dyDescent="0.2">
      <c r="A868">
        <v>866</v>
      </c>
      <c r="B868">
        <f t="shared" si="14"/>
        <v>0</v>
      </c>
      <c r="C868">
        <f>SUM($B$2:B868)/A868</f>
        <v>66.05080831408776</v>
      </c>
    </row>
    <row r="869" spans="1:3" x14ac:dyDescent="0.2">
      <c r="A869">
        <v>867</v>
      </c>
      <c r="B869">
        <f t="shared" si="14"/>
        <v>0</v>
      </c>
      <c r="C869">
        <f>SUM($B$2:B869)/A869</f>
        <v>65.97462514417532</v>
      </c>
    </row>
    <row r="870" spans="1:3" x14ac:dyDescent="0.2">
      <c r="A870">
        <v>868</v>
      </c>
      <c r="B870">
        <f t="shared" si="14"/>
        <v>0</v>
      </c>
      <c r="C870">
        <f>SUM($B$2:B870)/A870</f>
        <v>65.89861751152074</v>
      </c>
    </row>
    <row r="871" spans="1:3" x14ac:dyDescent="0.2">
      <c r="A871">
        <v>869</v>
      </c>
      <c r="B871">
        <f t="shared" si="14"/>
        <v>0</v>
      </c>
      <c r="C871">
        <f>SUM($B$2:B871)/A871</f>
        <v>65.822784810126578</v>
      </c>
    </row>
    <row r="872" spans="1:3" x14ac:dyDescent="0.2">
      <c r="A872">
        <v>870</v>
      </c>
      <c r="B872">
        <f t="shared" si="14"/>
        <v>0</v>
      </c>
      <c r="C872">
        <f>SUM($B$2:B872)/A872</f>
        <v>65.747126436781613</v>
      </c>
    </row>
    <row r="873" spans="1:3" x14ac:dyDescent="0.2">
      <c r="A873">
        <v>871</v>
      </c>
      <c r="B873">
        <f t="shared" si="14"/>
        <v>0</v>
      </c>
      <c r="C873">
        <f>SUM($B$2:B873)/A873</f>
        <v>65.671641791044777</v>
      </c>
    </row>
    <row r="874" spans="1:3" x14ac:dyDescent="0.2">
      <c r="A874">
        <v>872</v>
      </c>
      <c r="B874">
        <f t="shared" si="14"/>
        <v>0</v>
      </c>
      <c r="C874">
        <f>SUM($B$2:B874)/A874</f>
        <v>65.596330275229363</v>
      </c>
    </row>
    <row r="875" spans="1:3" x14ac:dyDescent="0.2">
      <c r="A875">
        <v>873</v>
      </c>
      <c r="B875">
        <f t="shared" si="14"/>
        <v>0</v>
      </c>
      <c r="C875">
        <f>SUM($B$2:B875)/A875</f>
        <v>65.521191294387165</v>
      </c>
    </row>
    <row r="876" spans="1:3" x14ac:dyDescent="0.2">
      <c r="A876">
        <v>874</v>
      </c>
      <c r="B876">
        <f t="shared" si="14"/>
        <v>0</v>
      </c>
      <c r="C876">
        <f>SUM($B$2:B876)/A876</f>
        <v>65.446224256292908</v>
      </c>
    </row>
    <row r="877" spans="1:3" x14ac:dyDescent="0.2">
      <c r="A877">
        <v>875</v>
      </c>
      <c r="B877">
        <f t="shared" si="14"/>
        <v>0</v>
      </c>
      <c r="C877">
        <f>SUM($B$2:B877)/A877</f>
        <v>65.371428571428567</v>
      </c>
    </row>
    <row r="878" spans="1:3" x14ac:dyDescent="0.2">
      <c r="A878">
        <v>876</v>
      </c>
      <c r="B878">
        <f t="shared" si="14"/>
        <v>0</v>
      </c>
      <c r="C878">
        <f>SUM($B$2:B878)/A878</f>
        <v>65.296803652968038</v>
      </c>
    </row>
    <row r="879" spans="1:3" x14ac:dyDescent="0.2">
      <c r="A879">
        <v>877</v>
      </c>
      <c r="B879">
        <f t="shared" si="14"/>
        <v>0</v>
      </c>
      <c r="C879">
        <f>SUM($B$2:B879)/A879</f>
        <v>65.222348916761689</v>
      </c>
    </row>
    <row r="880" spans="1:3" x14ac:dyDescent="0.2">
      <c r="A880">
        <v>878</v>
      </c>
      <c r="B880">
        <f t="shared" si="14"/>
        <v>0</v>
      </c>
      <c r="C880">
        <f>SUM($B$2:B880)/A880</f>
        <v>65.148063781321184</v>
      </c>
    </row>
    <row r="881" spans="1:3" x14ac:dyDescent="0.2">
      <c r="A881">
        <v>879</v>
      </c>
      <c r="B881">
        <f t="shared" si="14"/>
        <v>0</v>
      </c>
      <c r="C881">
        <f>SUM($B$2:B881)/A881</f>
        <v>65.073947667804319</v>
      </c>
    </row>
    <row r="882" spans="1:3" x14ac:dyDescent="0.2">
      <c r="A882">
        <v>880</v>
      </c>
      <c r="B882">
        <f t="shared" si="14"/>
        <v>0</v>
      </c>
      <c r="C882">
        <f>SUM($B$2:B882)/A882</f>
        <v>65</v>
      </c>
    </row>
    <row r="883" spans="1:3" x14ac:dyDescent="0.2">
      <c r="A883">
        <v>881</v>
      </c>
      <c r="B883">
        <f t="shared" si="14"/>
        <v>0</v>
      </c>
      <c r="C883">
        <f>SUM($B$2:B883)/A883</f>
        <v>64.926220204313282</v>
      </c>
    </row>
    <row r="884" spans="1:3" x14ac:dyDescent="0.2">
      <c r="A884">
        <v>882</v>
      </c>
      <c r="B884">
        <f t="shared" si="14"/>
        <v>0</v>
      </c>
      <c r="C884">
        <f>SUM($B$2:B884)/A884</f>
        <v>64.852607709750572</v>
      </c>
    </row>
    <row r="885" spans="1:3" x14ac:dyDescent="0.2">
      <c r="A885">
        <v>883</v>
      </c>
      <c r="B885">
        <f t="shared" si="14"/>
        <v>0</v>
      </c>
      <c r="C885">
        <f>SUM($B$2:B885)/A885</f>
        <v>64.779161947904868</v>
      </c>
    </row>
    <row r="886" spans="1:3" x14ac:dyDescent="0.2">
      <c r="A886">
        <v>884</v>
      </c>
      <c r="B886">
        <f t="shared" si="14"/>
        <v>0</v>
      </c>
      <c r="C886">
        <f>SUM($B$2:B886)/A886</f>
        <v>64.705882352941174</v>
      </c>
    </row>
    <row r="887" spans="1:3" x14ac:dyDescent="0.2">
      <c r="A887">
        <v>885</v>
      </c>
      <c r="B887">
        <f t="shared" si="14"/>
        <v>0</v>
      </c>
      <c r="C887">
        <f>SUM($B$2:B887)/A887</f>
        <v>64.632768361581924</v>
      </c>
    </row>
    <row r="888" spans="1:3" x14ac:dyDescent="0.2">
      <c r="A888">
        <v>886</v>
      </c>
      <c r="B888">
        <f t="shared" si="14"/>
        <v>0</v>
      </c>
      <c r="C888">
        <f>SUM($B$2:B888)/A888</f>
        <v>64.559819413092555</v>
      </c>
    </row>
    <row r="889" spans="1:3" x14ac:dyDescent="0.2">
      <c r="A889">
        <v>887</v>
      </c>
      <c r="B889">
        <f t="shared" si="14"/>
        <v>0</v>
      </c>
      <c r="C889">
        <f>SUM($B$2:B889)/A889</f>
        <v>64.487034949267198</v>
      </c>
    </row>
    <row r="890" spans="1:3" x14ac:dyDescent="0.2">
      <c r="A890">
        <v>888</v>
      </c>
      <c r="B890">
        <f t="shared" si="14"/>
        <v>0</v>
      </c>
      <c r="C890">
        <f>SUM($B$2:B890)/A890</f>
        <v>64.414414414414409</v>
      </c>
    </row>
    <row r="891" spans="1:3" x14ac:dyDescent="0.2">
      <c r="A891">
        <v>889</v>
      </c>
      <c r="B891">
        <f t="shared" si="14"/>
        <v>0</v>
      </c>
      <c r="C891">
        <f>SUM($B$2:B891)/A891</f>
        <v>64.341957255343075</v>
      </c>
    </row>
    <row r="892" spans="1:3" x14ac:dyDescent="0.2">
      <c r="A892">
        <v>890</v>
      </c>
      <c r="B892">
        <f t="shared" si="14"/>
        <v>0</v>
      </c>
      <c r="C892">
        <f>SUM($B$2:B892)/A892</f>
        <v>64.269662921348313</v>
      </c>
    </row>
    <row r="893" spans="1:3" x14ac:dyDescent="0.2">
      <c r="A893">
        <v>891</v>
      </c>
      <c r="B893">
        <f t="shared" si="14"/>
        <v>0</v>
      </c>
      <c r="C893">
        <f>SUM($B$2:B893)/A893</f>
        <v>64.197530864197532</v>
      </c>
    </row>
    <row r="894" spans="1:3" x14ac:dyDescent="0.2">
      <c r="A894">
        <v>892</v>
      </c>
      <c r="B894">
        <f t="shared" si="14"/>
        <v>0</v>
      </c>
      <c r="C894">
        <f>SUM($B$2:B894)/A894</f>
        <v>64.125560538116588</v>
      </c>
    </row>
    <row r="895" spans="1:3" x14ac:dyDescent="0.2">
      <c r="A895">
        <v>893</v>
      </c>
      <c r="B895">
        <f t="shared" si="14"/>
        <v>0</v>
      </c>
      <c r="C895">
        <f>SUM($B$2:B895)/A895</f>
        <v>64.053751399776033</v>
      </c>
    </row>
    <row r="896" spans="1:3" x14ac:dyDescent="0.2">
      <c r="A896">
        <v>894</v>
      </c>
      <c r="B896">
        <f t="shared" si="14"/>
        <v>0</v>
      </c>
      <c r="C896">
        <f>SUM($B$2:B896)/A896</f>
        <v>63.982102908277405</v>
      </c>
    </row>
    <row r="897" spans="1:3" x14ac:dyDescent="0.2">
      <c r="A897">
        <v>895</v>
      </c>
      <c r="B897">
        <f t="shared" si="14"/>
        <v>0</v>
      </c>
      <c r="C897">
        <f>SUM($B$2:B897)/A897</f>
        <v>63.910614525139664</v>
      </c>
    </row>
    <row r="898" spans="1:3" x14ac:dyDescent="0.2">
      <c r="A898">
        <v>896</v>
      </c>
      <c r="B898">
        <f t="shared" si="14"/>
        <v>0</v>
      </c>
      <c r="C898">
        <f>SUM($B$2:B898)/A898</f>
        <v>63.839285714285715</v>
      </c>
    </row>
    <row r="899" spans="1:3" x14ac:dyDescent="0.2">
      <c r="A899">
        <v>897</v>
      </c>
      <c r="B899">
        <f t="shared" si="14"/>
        <v>0</v>
      </c>
      <c r="C899">
        <f>SUM($B$2:B899)/A899</f>
        <v>63.768115942028984</v>
      </c>
    </row>
    <row r="900" spans="1:3" x14ac:dyDescent="0.2">
      <c r="A900">
        <v>898</v>
      </c>
      <c r="B900">
        <f t="shared" si="14"/>
        <v>0</v>
      </c>
      <c r="C900">
        <f>SUM($B$2:B900)/A900</f>
        <v>63.697104677060132</v>
      </c>
    </row>
    <row r="901" spans="1:3" x14ac:dyDescent="0.2">
      <c r="A901">
        <v>899</v>
      </c>
      <c r="B901">
        <f t="shared" ref="B901:B964" si="15">IF((A900-IF(A900+1/120&gt;1,ROUNDDOWN(A900/120,0)*120,0))/20&lt;1,ROUNDDOWN((A900-120*ROUNDDOWN(A900/120,0))/2,0)*65+65,0)</f>
        <v>0</v>
      </c>
      <c r="C901">
        <f>SUM($B$2:B901)/A901</f>
        <v>63.626251390433815</v>
      </c>
    </row>
    <row r="902" spans="1:3" x14ac:dyDescent="0.2">
      <c r="A902">
        <v>900</v>
      </c>
      <c r="B902">
        <f t="shared" si="15"/>
        <v>0</v>
      </c>
      <c r="C902">
        <f>SUM($B$2:B902)/A902</f>
        <v>63.555555555555557</v>
      </c>
    </row>
    <row r="903" spans="1:3" x14ac:dyDescent="0.2">
      <c r="A903">
        <v>901</v>
      </c>
      <c r="B903">
        <f t="shared" si="15"/>
        <v>0</v>
      </c>
      <c r="C903">
        <f>SUM($B$2:B903)/A903</f>
        <v>63.485016648168703</v>
      </c>
    </row>
    <row r="904" spans="1:3" x14ac:dyDescent="0.2">
      <c r="A904">
        <v>902</v>
      </c>
      <c r="B904">
        <f t="shared" si="15"/>
        <v>0</v>
      </c>
      <c r="C904">
        <f>SUM($B$2:B904)/A904</f>
        <v>63.414634146341463</v>
      </c>
    </row>
    <row r="905" spans="1:3" x14ac:dyDescent="0.2">
      <c r="A905">
        <v>903</v>
      </c>
      <c r="B905">
        <f t="shared" si="15"/>
        <v>0</v>
      </c>
      <c r="C905">
        <f>SUM($B$2:B905)/A905</f>
        <v>63.344407530454042</v>
      </c>
    </row>
    <row r="906" spans="1:3" x14ac:dyDescent="0.2">
      <c r="A906">
        <v>904</v>
      </c>
      <c r="B906">
        <f t="shared" si="15"/>
        <v>0</v>
      </c>
      <c r="C906">
        <f>SUM($B$2:B906)/A906</f>
        <v>63.274336283185839</v>
      </c>
    </row>
    <row r="907" spans="1:3" x14ac:dyDescent="0.2">
      <c r="A907">
        <v>905</v>
      </c>
      <c r="B907">
        <f t="shared" si="15"/>
        <v>0</v>
      </c>
      <c r="C907">
        <f>SUM($B$2:B907)/A907</f>
        <v>63.204419889502759</v>
      </c>
    </row>
    <row r="908" spans="1:3" x14ac:dyDescent="0.2">
      <c r="A908">
        <v>906</v>
      </c>
      <c r="B908">
        <f t="shared" si="15"/>
        <v>0</v>
      </c>
      <c r="C908">
        <f>SUM($B$2:B908)/A908</f>
        <v>63.134657836644593</v>
      </c>
    </row>
    <row r="909" spans="1:3" x14ac:dyDescent="0.2">
      <c r="A909">
        <v>907</v>
      </c>
      <c r="B909">
        <f t="shared" si="15"/>
        <v>0</v>
      </c>
      <c r="C909">
        <f>SUM($B$2:B909)/A909</f>
        <v>63.065049614112461</v>
      </c>
    </row>
    <row r="910" spans="1:3" x14ac:dyDescent="0.2">
      <c r="A910">
        <v>908</v>
      </c>
      <c r="B910">
        <f t="shared" si="15"/>
        <v>0</v>
      </c>
      <c r="C910">
        <f>SUM($B$2:B910)/A910</f>
        <v>62.995594713656388</v>
      </c>
    </row>
    <row r="911" spans="1:3" x14ac:dyDescent="0.2">
      <c r="A911">
        <v>909</v>
      </c>
      <c r="B911">
        <f t="shared" si="15"/>
        <v>0</v>
      </c>
      <c r="C911">
        <f>SUM($B$2:B911)/A911</f>
        <v>62.926292629262925</v>
      </c>
    </row>
    <row r="912" spans="1:3" x14ac:dyDescent="0.2">
      <c r="A912">
        <v>910</v>
      </c>
      <c r="B912">
        <f t="shared" si="15"/>
        <v>0</v>
      </c>
      <c r="C912">
        <f>SUM($B$2:B912)/A912</f>
        <v>62.857142857142854</v>
      </c>
    </row>
    <row r="913" spans="1:3" x14ac:dyDescent="0.2">
      <c r="A913">
        <v>911</v>
      </c>
      <c r="B913">
        <f t="shared" si="15"/>
        <v>0</v>
      </c>
      <c r="C913">
        <f>SUM($B$2:B913)/A913</f>
        <v>62.788144895718993</v>
      </c>
    </row>
    <row r="914" spans="1:3" x14ac:dyDescent="0.2">
      <c r="A914">
        <v>912</v>
      </c>
      <c r="B914">
        <f t="shared" si="15"/>
        <v>0</v>
      </c>
      <c r="C914">
        <f>SUM($B$2:B914)/A914</f>
        <v>62.719298245614034</v>
      </c>
    </row>
    <row r="915" spans="1:3" x14ac:dyDescent="0.2">
      <c r="A915">
        <v>913</v>
      </c>
      <c r="B915">
        <f t="shared" si="15"/>
        <v>0</v>
      </c>
      <c r="C915">
        <f>SUM($B$2:B915)/A915</f>
        <v>62.650602409638552</v>
      </c>
    </row>
    <row r="916" spans="1:3" x14ac:dyDescent="0.2">
      <c r="A916">
        <v>914</v>
      </c>
      <c r="B916">
        <f t="shared" si="15"/>
        <v>0</v>
      </c>
      <c r="C916">
        <f>SUM($B$2:B916)/A916</f>
        <v>62.582056892778994</v>
      </c>
    </row>
    <row r="917" spans="1:3" x14ac:dyDescent="0.2">
      <c r="A917">
        <v>915</v>
      </c>
      <c r="B917">
        <f t="shared" si="15"/>
        <v>0</v>
      </c>
      <c r="C917">
        <f>SUM($B$2:B917)/A917</f>
        <v>62.513661202185794</v>
      </c>
    </row>
    <row r="918" spans="1:3" x14ac:dyDescent="0.2">
      <c r="A918">
        <v>916</v>
      </c>
      <c r="B918">
        <f t="shared" si="15"/>
        <v>0</v>
      </c>
      <c r="C918">
        <f>SUM($B$2:B918)/A918</f>
        <v>62.445414847161572</v>
      </c>
    </row>
    <row r="919" spans="1:3" x14ac:dyDescent="0.2">
      <c r="A919">
        <v>917</v>
      </c>
      <c r="B919">
        <f t="shared" si="15"/>
        <v>0</v>
      </c>
      <c r="C919">
        <f>SUM($B$2:B919)/A919</f>
        <v>62.3773173391494</v>
      </c>
    </row>
    <row r="920" spans="1:3" x14ac:dyDescent="0.2">
      <c r="A920">
        <v>918</v>
      </c>
      <c r="B920">
        <f t="shared" si="15"/>
        <v>0</v>
      </c>
      <c r="C920">
        <f>SUM($B$2:B920)/A920</f>
        <v>62.309368191721134</v>
      </c>
    </row>
    <row r="921" spans="1:3" x14ac:dyDescent="0.2">
      <c r="A921">
        <v>919</v>
      </c>
      <c r="B921">
        <f t="shared" si="15"/>
        <v>0</v>
      </c>
      <c r="C921">
        <f>SUM($B$2:B921)/A921</f>
        <v>62.24156692056583</v>
      </c>
    </row>
    <row r="922" spans="1:3" x14ac:dyDescent="0.2">
      <c r="A922">
        <v>920</v>
      </c>
      <c r="B922">
        <f t="shared" si="15"/>
        <v>0</v>
      </c>
      <c r="C922">
        <f>SUM($B$2:B922)/A922</f>
        <v>62.173913043478258</v>
      </c>
    </row>
    <row r="923" spans="1:3" x14ac:dyDescent="0.2">
      <c r="A923">
        <v>921</v>
      </c>
      <c r="B923">
        <f t="shared" si="15"/>
        <v>0</v>
      </c>
      <c r="C923">
        <f>SUM($B$2:B923)/A923</f>
        <v>62.106406080347448</v>
      </c>
    </row>
    <row r="924" spans="1:3" x14ac:dyDescent="0.2">
      <c r="A924">
        <v>922</v>
      </c>
      <c r="B924">
        <f t="shared" si="15"/>
        <v>0</v>
      </c>
      <c r="C924">
        <f>SUM($B$2:B924)/A924</f>
        <v>62.039045553145336</v>
      </c>
    </row>
    <row r="925" spans="1:3" x14ac:dyDescent="0.2">
      <c r="A925">
        <v>923</v>
      </c>
      <c r="B925">
        <f t="shared" si="15"/>
        <v>0</v>
      </c>
      <c r="C925">
        <f>SUM($B$2:B925)/A925</f>
        <v>61.971830985915496</v>
      </c>
    </row>
    <row r="926" spans="1:3" x14ac:dyDescent="0.2">
      <c r="A926">
        <v>924</v>
      </c>
      <c r="B926">
        <f t="shared" si="15"/>
        <v>0</v>
      </c>
      <c r="C926">
        <f>SUM($B$2:B926)/A926</f>
        <v>61.904761904761905</v>
      </c>
    </row>
    <row r="927" spans="1:3" x14ac:dyDescent="0.2">
      <c r="A927">
        <v>925</v>
      </c>
      <c r="B927">
        <f t="shared" si="15"/>
        <v>0</v>
      </c>
      <c r="C927">
        <f>SUM($B$2:B927)/A927</f>
        <v>61.837837837837839</v>
      </c>
    </row>
    <row r="928" spans="1:3" x14ac:dyDescent="0.2">
      <c r="A928">
        <v>926</v>
      </c>
      <c r="B928">
        <f t="shared" si="15"/>
        <v>0</v>
      </c>
      <c r="C928">
        <f>SUM($B$2:B928)/A928</f>
        <v>61.77105831533477</v>
      </c>
    </row>
    <row r="929" spans="1:3" x14ac:dyDescent="0.2">
      <c r="A929">
        <v>927</v>
      </c>
      <c r="B929">
        <f t="shared" si="15"/>
        <v>0</v>
      </c>
      <c r="C929">
        <f>SUM($B$2:B929)/A929</f>
        <v>61.704422869471415</v>
      </c>
    </row>
    <row r="930" spans="1:3" x14ac:dyDescent="0.2">
      <c r="A930">
        <v>928</v>
      </c>
      <c r="B930">
        <f t="shared" si="15"/>
        <v>0</v>
      </c>
      <c r="C930">
        <f>SUM($B$2:B930)/A930</f>
        <v>61.637931034482762</v>
      </c>
    </row>
    <row r="931" spans="1:3" x14ac:dyDescent="0.2">
      <c r="A931">
        <v>929</v>
      </c>
      <c r="B931">
        <f t="shared" si="15"/>
        <v>0</v>
      </c>
      <c r="C931">
        <f>SUM($B$2:B931)/A931</f>
        <v>61.571582346609254</v>
      </c>
    </row>
    <row r="932" spans="1:3" x14ac:dyDescent="0.2">
      <c r="A932">
        <v>930</v>
      </c>
      <c r="B932">
        <f t="shared" si="15"/>
        <v>0</v>
      </c>
      <c r="C932">
        <f>SUM($B$2:B932)/A932</f>
        <v>61.505376344086024</v>
      </c>
    </row>
    <row r="933" spans="1:3" x14ac:dyDescent="0.2">
      <c r="A933">
        <v>931</v>
      </c>
      <c r="B933">
        <f t="shared" si="15"/>
        <v>0</v>
      </c>
      <c r="C933">
        <f>SUM($B$2:B933)/A933</f>
        <v>61.439312567132113</v>
      </c>
    </row>
    <row r="934" spans="1:3" x14ac:dyDescent="0.2">
      <c r="A934">
        <v>932</v>
      </c>
      <c r="B934">
        <f t="shared" si="15"/>
        <v>0</v>
      </c>
      <c r="C934">
        <f>SUM($B$2:B934)/A934</f>
        <v>61.373390557939913</v>
      </c>
    </row>
    <row r="935" spans="1:3" x14ac:dyDescent="0.2">
      <c r="A935">
        <v>933</v>
      </c>
      <c r="B935">
        <f t="shared" si="15"/>
        <v>0</v>
      </c>
      <c r="C935">
        <f>SUM($B$2:B935)/A935</f>
        <v>61.30760986066452</v>
      </c>
    </row>
    <row r="936" spans="1:3" x14ac:dyDescent="0.2">
      <c r="A936">
        <v>934</v>
      </c>
      <c r="B936">
        <f t="shared" si="15"/>
        <v>0</v>
      </c>
      <c r="C936">
        <f>SUM($B$2:B936)/A936</f>
        <v>61.241970021413273</v>
      </c>
    </row>
    <row r="937" spans="1:3" x14ac:dyDescent="0.2">
      <c r="A937">
        <v>935</v>
      </c>
      <c r="B937">
        <f t="shared" si="15"/>
        <v>0</v>
      </c>
      <c r="C937">
        <f>SUM($B$2:B937)/A937</f>
        <v>61.176470588235297</v>
      </c>
    </row>
    <row r="938" spans="1:3" x14ac:dyDescent="0.2">
      <c r="A938">
        <v>936</v>
      </c>
      <c r="B938">
        <f t="shared" si="15"/>
        <v>0</v>
      </c>
      <c r="C938">
        <f>SUM($B$2:B938)/A938</f>
        <v>61.111111111111114</v>
      </c>
    </row>
    <row r="939" spans="1:3" x14ac:dyDescent="0.2">
      <c r="A939">
        <v>937</v>
      </c>
      <c r="B939">
        <f t="shared" si="15"/>
        <v>0</v>
      </c>
      <c r="C939">
        <f>SUM($B$2:B939)/A939</f>
        <v>61.04589114194237</v>
      </c>
    </row>
    <row r="940" spans="1:3" x14ac:dyDescent="0.2">
      <c r="A940">
        <v>938</v>
      </c>
      <c r="B940">
        <f t="shared" si="15"/>
        <v>0</v>
      </c>
      <c r="C940">
        <f>SUM($B$2:B940)/A940</f>
        <v>60.980810234541579</v>
      </c>
    </row>
    <row r="941" spans="1:3" x14ac:dyDescent="0.2">
      <c r="A941">
        <v>939</v>
      </c>
      <c r="B941">
        <f t="shared" si="15"/>
        <v>0</v>
      </c>
      <c r="C941">
        <f>SUM($B$2:B941)/A941</f>
        <v>60.915867944621937</v>
      </c>
    </row>
    <row r="942" spans="1:3" x14ac:dyDescent="0.2">
      <c r="A942">
        <v>940</v>
      </c>
      <c r="B942">
        <f t="shared" si="15"/>
        <v>0</v>
      </c>
      <c r="C942">
        <f>SUM($B$2:B942)/A942</f>
        <v>60.851063829787236</v>
      </c>
    </row>
    <row r="943" spans="1:3" x14ac:dyDescent="0.2">
      <c r="A943">
        <v>941</v>
      </c>
      <c r="B943">
        <f t="shared" si="15"/>
        <v>0</v>
      </c>
      <c r="C943">
        <f>SUM($B$2:B943)/A943</f>
        <v>60.786397449521786</v>
      </c>
    </row>
    <row r="944" spans="1:3" x14ac:dyDescent="0.2">
      <c r="A944">
        <v>942</v>
      </c>
      <c r="B944">
        <f t="shared" si="15"/>
        <v>0</v>
      </c>
      <c r="C944">
        <f>SUM($B$2:B944)/A944</f>
        <v>60.72186836518047</v>
      </c>
    </row>
    <row r="945" spans="1:3" x14ac:dyDescent="0.2">
      <c r="A945">
        <v>943</v>
      </c>
      <c r="B945">
        <f t="shared" si="15"/>
        <v>0</v>
      </c>
      <c r="C945">
        <f>SUM($B$2:B945)/A945</f>
        <v>60.65747613997879</v>
      </c>
    </row>
    <row r="946" spans="1:3" x14ac:dyDescent="0.2">
      <c r="A946">
        <v>944</v>
      </c>
      <c r="B946">
        <f t="shared" si="15"/>
        <v>0</v>
      </c>
      <c r="C946">
        <f>SUM($B$2:B946)/A946</f>
        <v>60.593220338983052</v>
      </c>
    </row>
    <row r="947" spans="1:3" x14ac:dyDescent="0.2">
      <c r="A947">
        <v>945</v>
      </c>
      <c r="B947">
        <f t="shared" si="15"/>
        <v>0</v>
      </c>
      <c r="C947">
        <f>SUM($B$2:B947)/A947</f>
        <v>60.529100529100532</v>
      </c>
    </row>
    <row r="948" spans="1:3" x14ac:dyDescent="0.2">
      <c r="A948">
        <v>946</v>
      </c>
      <c r="B948">
        <f t="shared" si="15"/>
        <v>0</v>
      </c>
      <c r="C948">
        <f>SUM($B$2:B948)/A948</f>
        <v>60.465116279069768</v>
      </c>
    </row>
    <row r="949" spans="1:3" x14ac:dyDescent="0.2">
      <c r="A949">
        <v>947</v>
      </c>
      <c r="B949">
        <f t="shared" si="15"/>
        <v>0</v>
      </c>
      <c r="C949">
        <f>SUM($B$2:B949)/A949</f>
        <v>60.401267159450896</v>
      </c>
    </row>
    <row r="950" spans="1:3" x14ac:dyDescent="0.2">
      <c r="A950">
        <v>948</v>
      </c>
      <c r="B950">
        <f t="shared" si="15"/>
        <v>0</v>
      </c>
      <c r="C950">
        <f>SUM($B$2:B950)/A950</f>
        <v>60.337552742616033</v>
      </c>
    </row>
    <row r="951" spans="1:3" x14ac:dyDescent="0.2">
      <c r="A951">
        <v>949</v>
      </c>
      <c r="B951">
        <f t="shared" si="15"/>
        <v>0</v>
      </c>
      <c r="C951">
        <f>SUM($B$2:B951)/A951</f>
        <v>60.273972602739725</v>
      </c>
    </row>
    <row r="952" spans="1:3" x14ac:dyDescent="0.2">
      <c r="A952">
        <v>950</v>
      </c>
      <c r="B952">
        <f t="shared" si="15"/>
        <v>0</v>
      </c>
      <c r="C952">
        <f>SUM($B$2:B952)/A952</f>
        <v>60.210526315789473</v>
      </c>
    </row>
    <row r="953" spans="1:3" x14ac:dyDescent="0.2">
      <c r="A953">
        <v>951</v>
      </c>
      <c r="B953">
        <f t="shared" si="15"/>
        <v>0</v>
      </c>
      <c r="C953">
        <f>SUM($B$2:B953)/A953</f>
        <v>60.147213459516301</v>
      </c>
    </row>
    <row r="954" spans="1:3" x14ac:dyDescent="0.2">
      <c r="A954">
        <v>952</v>
      </c>
      <c r="B954">
        <f t="shared" si="15"/>
        <v>0</v>
      </c>
      <c r="C954">
        <f>SUM($B$2:B954)/A954</f>
        <v>60.084033613445378</v>
      </c>
    </row>
    <row r="955" spans="1:3" x14ac:dyDescent="0.2">
      <c r="A955">
        <v>953</v>
      </c>
      <c r="B955">
        <f t="shared" si="15"/>
        <v>0</v>
      </c>
      <c r="C955">
        <f>SUM($B$2:B955)/A955</f>
        <v>60.020986358866736</v>
      </c>
    </row>
    <row r="956" spans="1:3" x14ac:dyDescent="0.2">
      <c r="A956">
        <v>954</v>
      </c>
      <c r="B956">
        <f t="shared" si="15"/>
        <v>0</v>
      </c>
      <c r="C956">
        <f>SUM($B$2:B956)/A956</f>
        <v>59.958071278825997</v>
      </c>
    </row>
    <row r="957" spans="1:3" x14ac:dyDescent="0.2">
      <c r="A957">
        <v>955</v>
      </c>
      <c r="B957">
        <f t="shared" si="15"/>
        <v>0</v>
      </c>
      <c r="C957">
        <f>SUM($B$2:B957)/A957</f>
        <v>59.895287958115183</v>
      </c>
    </row>
    <row r="958" spans="1:3" x14ac:dyDescent="0.2">
      <c r="A958">
        <v>956</v>
      </c>
      <c r="B958">
        <f t="shared" si="15"/>
        <v>0</v>
      </c>
      <c r="C958">
        <f>SUM($B$2:B958)/A958</f>
        <v>59.8326359832636</v>
      </c>
    </row>
    <row r="959" spans="1:3" x14ac:dyDescent="0.2">
      <c r="A959">
        <v>957</v>
      </c>
      <c r="B959">
        <f t="shared" si="15"/>
        <v>0</v>
      </c>
      <c r="C959">
        <f>SUM($B$2:B959)/A959</f>
        <v>59.770114942528735</v>
      </c>
    </row>
    <row r="960" spans="1:3" x14ac:dyDescent="0.2">
      <c r="A960">
        <v>958</v>
      </c>
      <c r="B960">
        <f t="shared" si="15"/>
        <v>0</v>
      </c>
      <c r="C960">
        <f>SUM($B$2:B960)/A960</f>
        <v>59.707724425887264</v>
      </c>
    </row>
    <row r="961" spans="1:3" x14ac:dyDescent="0.2">
      <c r="A961">
        <v>959</v>
      </c>
      <c r="B961">
        <f t="shared" si="15"/>
        <v>0</v>
      </c>
      <c r="C961">
        <f>SUM($B$2:B961)/A961</f>
        <v>59.645464025026072</v>
      </c>
    </row>
    <row r="962" spans="1:3" x14ac:dyDescent="0.2">
      <c r="A962">
        <v>960</v>
      </c>
      <c r="B962">
        <f t="shared" si="15"/>
        <v>0</v>
      </c>
      <c r="C962">
        <f>SUM($B$2:B962)/A962</f>
        <v>59.583333333333336</v>
      </c>
    </row>
    <row r="963" spans="1:3" x14ac:dyDescent="0.2">
      <c r="A963">
        <v>961</v>
      </c>
      <c r="B963">
        <f t="shared" si="15"/>
        <v>65</v>
      </c>
      <c r="C963">
        <f>SUM($B$2:B963)/A963</f>
        <v>59.588969823100939</v>
      </c>
    </row>
    <row r="964" spans="1:3" x14ac:dyDescent="0.2">
      <c r="A964">
        <v>962</v>
      </c>
      <c r="B964">
        <f t="shared" si="15"/>
        <v>65</v>
      </c>
      <c r="C964">
        <f>SUM($B$2:B964)/A964</f>
        <v>59.594594594594597</v>
      </c>
    </row>
    <row r="965" spans="1:3" x14ac:dyDescent="0.2">
      <c r="A965">
        <v>963</v>
      </c>
      <c r="B965">
        <f t="shared" ref="B965:B1028" si="16">IF((A964-IF(A964+1/120&gt;1,ROUNDDOWN(A964/120,0)*120,0))/20&lt;1,ROUNDDOWN((A964-120*ROUNDDOWN(A964/120,0))/2,0)*65+65,0)</f>
        <v>130</v>
      </c>
      <c r="C965">
        <f>SUM($B$2:B965)/A965</f>
        <v>59.667705088265834</v>
      </c>
    </row>
    <row r="966" spans="1:3" x14ac:dyDescent="0.2">
      <c r="A966">
        <v>964</v>
      </c>
      <c r="B966">
        <f t="shared" si="16"/>
        <v>130</v>
      </c>
      <c r="C966">
        <f>SUM($B$2:B966)/A966</f>
        <v>59.740663900414937</v>
      </c>
    </row>
    <row r="967" spans="1:3" x14ac:dyDescent="0.2">
      <c r="A967">
        <v>965</v>
      </c>
      <c r="B967">
        <f t="shared" si="16"/>
        <v>195</v>
      </c>
      <c r="C967">
        <f>SUM($B$2:B967)/A967</f>
        <v>59.880829015544045</v>
      </c>
    </row>
    <row r="968" spans="1:3" x14ac:dyDescent="0.2">
      <c r="A968">
        <v>966</v>
      </c>
      <c r="B968">
        <f t="shared" si="16"/>
        <v>195</v>
      </c>
      <c r="C968">
        <f>SUM($B$2:B968)/A968</f>
        <v>60.020703933747413</v>
      </c>
    </row>
    <row r="969" spans="1:3" x14ac:dyDescent="0.2">
      <c r="A969">
        <v>967</v>
      </c>
      <c r="B969">
        <f t="shared" si="16"/>
        <v>260</v>
      </c>
      <c r="C969">
        <f>SUM($B$2:B969)/A969</f>
        <v>60.227507755946228</v>
      </c>
    </row>
    <row r="970" spans="1:3" x14ac:dyDescent="0.2">
      <c r="A970">
        <v>968</v>
      </c>
      <c r="B970">
        <f t="shared" si="16"/>
        <v>260</v>
      </c>
      <c r="C970">
        <f>SUM($B$2:B970)/A970</f>
        <v>60.433884297520663</v>
      </c>
    </row>
    <row r="971" spans="1:3" x14ac:dyDescent="0.2">
      <c r="A971">
        <v>969</v>
      </c>
      <c r="B971">
        <f t="shared" si="16"/>
        <v>325</v>
      </c>
      <c r="C971">
        <f>SUM($B$2:B971)/A971</f>
        <v>60.706914344685245</v>
      </c>
    </row>
    <row r="972" spans="1:3" x14ac:dyDescent="0.2">
      <c r="A972">
        <v>970</v>
      </c>
      <c r="B972">
        <f t="shared" si="16"/>
        <v>325</v>
      </c>
      <c r="C972">
        <f>SUM($B$2:B972)/A972</f>
        <v>60.979381443298969</v>
      </c>
    </row>
    <row r="973" spans="1:3" x14ac:dyDescent="0.2">
      <c r="A973">
        <v>971</v>
      </c>
      <c r="B973">
        <f t="shared" si="16"/>
        <v>390</v>
      </c>
      <c r="C973">
        <f>SUM($B$2:B973)/A973</f>
        <v>61.318228630278064</v>
      </c>
    </row>
    <row r="974" spans="1:3" x14ac:dyDescent="0.2">
      <c r="A974">
        <v>972</v>
      </c>
      <c r="B974">
        <f t="shared" si="16"/>
        <v>390</v>
      </c>
      <c r="C974">
        <f>SUM($B$2:B974)/A974</f>
        <v>61.656378600823047</v>
      </c>
    </row>
    <row r="975" spans="1:3" x14ac:dyDescent="0.2">
      <c r="A975">
        <v>973</v>
      </c>
      <c r="B975">
        <f t="shared" si="16"/>
        <v>455</v>
      </c>
      <c r="C975">
        <f>SUM($B$2:B975)/A975</f>
        <v>62.060637204522095</v>
      </c>
    </row>
    <row r="976" spans="1:3" x14ac:dyDescent="0.2">
      <c r="A976">
        <v>974</v>
      </c>
      <c r="B976">
        <f t="shared" si="16"/>
        <v>455</v>
      </c>
      <c r="C976">
        <f>SUM($B$2:B976)/A976</f>
        <v>62.464065708418893</v>
      </c>
    </row>
    <row r="977" spans="1:3" x14ac:dyDescent="0.2">
      <c r="A977">
        <v>975</v>
      </c>
      <c r="B977">
        <f t="shared" si="16"/>
        <v>520</v>
      </c>
      <c r="C977">
        <f>SUM($B$2:B977)/A977</f>
        <v>62.93333333333333</v>
      </c>
    </row>
    <row r="978" spans="1:3" x14ac:dyDescent="0.2">
      <c r="A978">
        <v>976</v>
      </c>
      <c r="B978">
        <f t="shared" si="16"/>
        <v>520</v>
      </c>
      <c r="C978">
        <f>SUM($B$2:B978)/A978</f>
        <v>63.401639344262293</v>
      </c>
    </row>
    <row r="979" spans="1:3" x14ac:dyDescent="0.2">
      <c r="A979">
        <v>977</v>
      </c>
      <c r="B979">
        <f t="shared" si="16"/>
        <v>585</v>
      </c>
      <c r="C979">
        <f>SUM($B$2:B979)/A979</f>
        <v>63.93551688843398</v>
      </c>
    </row>
    <row r="980" spans="1:3" x14ac:dyDescent="0.2">
      <c r="A980">
        <v>978</v>
      </c>
      <c r="B980">
        <f t="shared" si="16"/>
        <v>585</v>
      </c>
      <c r="C980">
        <f>SUM($B$2:B980)/A980</f>
        <v>64.468302658486706</v>
      </c>
    </row>
    <row r="981" spans="1:3" x14ac:dyDescent="0.2">
      <c r="A981">
        <v>979</v>
      </c>
      <c r="B981">
        <f t="shared" si="16"/>
        <v>650</v>
      </c>
      <c r="C981">
        <f>SUM($B$2:B981)/A981</f>
        <v>65.066394279877429</v>
      </c>
    </row>
    <row r="982" spans="1:3" x14ac:dyDescent="0.2">
      <c r="A982">
        <v>980</v>
      </c>
      <c r="B982">
        <f t="shared" si="16"/>
        <v>650</v>
      </c>
      <c r="C982">
        <f>SUM($B$2:B982)/A982</f>
        <v>65.663265306122454</v>
      </c>
    </row>
    <row r="983" spans="1:3" x14ac:dyDescent="0.2">
      <c r="A983">
        <v>981</v>
      </c>
      <c r="B983">
        <f t="shared" si="16"/>
        <v>0</v>
      </c>
      <c r="C983">
        <f>SUM($B$2:B983)/A983</f>
        <v>65.596330275229363</v>
      </c>
    </row>
    <row r="984" spans="1:3" x14ac:dyDescent="0.2">
      <c r="A984">
        <v>982</v>
      </c>
      <c r="B984">
        <f t="shared" si="16"/>
        <v>0</v>
      </c>
      <c r="C984">
        <f>SUM($B$2:B984)/A984</f>
        <v>65.529531568228109</v>
      </c>
    </row>
    <row r="985" spans="1:3" x14ac:dyDescent="0.2">
      <c r="A985">
        <v>983</v>
      </c>
      <c r="B985">
        <f t="shared" si="16"/>
        <v>0</v>
      </c>
      <c r="C985">
        <f>SUM($B$2:B985)/A985</f>
        <v>65.462868769074262</v>
      </c>
    </row>
    <row r="986" spans="1:3" x14ac:dyDescent="0.2">
      <c r="A986">
        <v>984</v>
      </c>
      <c r="B986">
        <f t="shared" si="16"/>
        <v>0</v>
      </c>
      <c r="C986">
        <f>SUM($B$2:B986)/A986</f>
        <v>65.396341463414629</v>
      </c>
    </row>
    <row r="987" spans="1:3" x14ac:dyDescent="0.2">
      <c r="A987">
        <v>985</v>
      </c>
      <c r="B987">
        <f t="shared" si="16"/>
        <v>0</v>
      </c>
      <c r="C987">
        <f>SUM($B$2:B987)/A987</f>
        <v>65.329949238578678</v>
      </c>
    </row>
    <row r="988" spans="1:3" x14ac:dyDescent="0.2">
      <c r="A988">
        <v>986</v>
      </c>
      <c r="B988">
        <f t="shared" si="16"/>
        <v>0</v>
      </c>
      <c r="C988">
        <f>SUM($B$2:B988)/A988</f>
        <v>65.263691683569974</v>
      </c>
    </row>
    <row r="989" spans="1:3" x14ac:dyDescent="0.2">
      <c r="A989">
        <v>987</v>
      </c>
      <c r="B989">
        <f t="shared" si="16"/>
        <v>0</v>
      </c>
      <c r="C989">
        <f>SUM($B$2:B989)/A989</f>
        <v>65.19756838905775</v>
      </c>
    </row>
    <row r="990" spans="1:3" x14ac:dyDescent="0.2">
      <c r="A990">
        <v>988</v>
      </c>
      <c r="B990">
        <f t="shared" si="16"/>
        <v>0</v>
      </c>
      <c r="C990">
        <f>SUM($B$2:B990)/A990</f>
        <v>65.131578947368425</v>
      </c>
    </row>
    <row r="991" spans="1:3" x14ac:dyDescent="0.2">
      <c r="A991">
        <v>989</v>
      </c>
      <c r="B991">
        <f t="shared" si="16"/>
        <v>0</v>
      </c>
      <c r="C991">
        <f>SUM($B$2:B991)/A991</f>
        <v>65.065722952477245</v>
      </c>
    </row>
    <row r="992" spans="1:3" x14ac:dyDescent="0.2">
      <c r="A992">
        <v>990</v>
      </c>
      <c r="B992">
        <f t="shared" si="16"/>
        <v>0</v>
      </c>
      <c r="C992">
        <f>SUM($B$2:B992)/A992</f>
        <v>65</v>
      </c>
    </row>
    <row r="993" spans="1:3" x14ac:dyDescent="0.2">
      <c r="A993">
        <v>991</v>
      </c>
      <c r="B993">
        <f t="shared" si="16"/>
        <v>0</v>
      </c>
      <c r="C993">
        <f>SUM($B$2:B993)/A993</f>
        <v>64.934409687184669</v>
      </c>
    </row>
    <row r="994" spans="1:3" x14ac:dyDescent="0.2">
      <c r="A994">
        <v>992</v>
      </c>
      <c r="B994">
        <f t="shared" si="16"/>
        <v>0</v>
      </c>
      <c r="C994">
        <f>SUM($B$2:B994)/A994</f>
        <v>64.868951612903231</v>
      </c>
    </row>
    <row r="995" spans="1:3" x14ac:dyDescent="0.2">
      <c r="A995">
        <v>993</v>
      </c>
      <c r="B995">
        <f t="shared" si="16"/>
        <v>0</v>
      </c>
      <c r="C995">
        <f>SUM($B$2:B995)/A995</f>
        <v>64.803625377643499</v>
      </c>
    </row>
    <row r="996" spans="1:3" x14ac:dyDescent="0.2">
      <c r="A996">
        <v>994</v>
      </c>
      <c r="B996">
        <f t="shared" si="16"/>
        <v>0</v>
      </c>
      <c r="C996">
        <f>SUM($B$2:B996)/A996</f>
        <v>64.738430583501</v>
      </c>
    </row>
    <row r="997" spans="1:3" x14ac:dyDescent="0.2">
      <c r="A997">
        <v>995</v>
      </c>
      <c r="B997">
        <f t="shared" si="16"/>
        <v>0</v>
      </c>
      <c r="C997">
        <f>SUM($B$2:B997)/A997</f>
        <v>64.673366834170849</v>
      </c>
    </row>
    <row r="998" spans="1:3" x14ac:dyDescent="0.2">
      <c r="A998">
        <v>996</v>
      </c>
      <c r="B998">
        <f t="shared" si="16"/>
        <v>0</v>
      </c>
      <c r="C998">
        <f>SUM($B$2:B998)/A998</f>
        <v>64.608433734939766</v>
      </c>
    </row>
    <row r="999" spans="1:3" x14ac:dyDescent="0.2">
      <c r="A999">
        <v>997</v>
      </c>
      <c r="B999">
        <f t="shared" si="16"/>
        <v>0</v>
      </c>
      <c r="C999">
        <f>SUM($B$2:B999)/A999</f>
        <v>64.543630892678038</v>
      </c>
    </row>
    <row r="1000" spans="1:3" x14ac:dyDescent="0.2">
      <c r="A1000">
        <v>998</v>
      </c>
      <c r="B1000">
        <f t="shared" si="16"/>
        <v>0</v>
      </c>
      <c r="C1000">
        <f>SUM($B$2:B1000)/A1000</f>
        <v>64.478957915831657</v>
      </c>
    </row>
    <row r="1001" spans="1:3" x14ac:dyDescent="0.2">
      <c r="A1001">
        <v>999</v>
      </c>
      <c r="B1001">
        <f t="shared" si="16"/>
        <v>0</v>
      </c>
      <c r="C1001">
        <f>SUM($B$2:B1001)/A1001</f>
        <v>64.414414414414409</v>
      </c>
    </row>
    <row r="1002" spans="1:3" x14ac:dyDescent="0.2">
      <c r="A1002">
        <v>1000</v>
      </c>
      <c r="B1002">
        <f t="shared" si="16"/>
        <v>0</v>
      </c>
      <c r="C1002">
        <f>SUM($B$2:B1002)/A1002</f>
        <v>64.349999999999994</v>
      </c>
    </row>
    <row r="1003" spans="1:3" x14ac:dyDescent="0.2">
      <c r="A1003">
        <v>1001</v>
      </c>
      <c r="B1003">
        <f t="shared" si="16"/>
        <v>0</v>
      </c>
      <c r="C1003">
        <f>SUM($B$2:B1003)/A1003</f>
        <v>64.285714285714292</v>
      </c>
    </row>
    <row r="1004" spans="1:3" x14ac:dyDescent="0.2">
      <c r="A1004">
        <v>1002</v>
      </c>
      <c r="B1004">
        <f t="shared" si="16"/>
        <v>0</v>
      </c>
      <c r="C1004">
        <f>SUM($B$2:B1004)/A1004</f>
        <v>64.221556886227546</v>
      </c>
    </row>
    <row r="1005" spans="1:3" x14ac:dyDescent="0.2">
      <c r="A1005">
        <v>1003</v>
      </c>
      <c r="B1005">
        <f t="shared" si="16"/>
        <v>0</v>
      </c>
      <c r="C1005">
        <f>SUM($B$2:B1005)/A1005</f>
        <v>64.157527417746763</v>
      </c>
    </row>
    <row r="1006" spans="1:3" x14ac:dyDescent="0.2">
      <c r="A1006">
        <v>1004</v>
      </c>
      <c r="B1006">
        <f t="shared" si="16"/>
        <v>0</v>
      </c>
      <c r="C1006">
        <f>SUM($B$2:B1006)/A1006</f>
        <v>64.093625498007967</v>
      </c>
    </row>
    <row r="1007" spans="1:3" x14ac:dyDescent="0.2">
      <c r="A1007">
        <v>1005</v>
      </c>
      <c r="B1007">
        <f t="shared" si="16"/>
        <v>0</v>
      </c>
      <c r="C1007">
        <f>SUM($B$2:B1007)/A1007</f>
        <v>64.02985074626865</v>
      </c>
    </row>
    <row r="1008" spans="1:3" x14ac:dyDescent="0.2">
      <c r="A1008">
        <v>1006</v>
      </c>
      <c r="B1008">
        <f t="shared" si="16"/>
        <v>0</v>
      </c>
      <c r="C1008">
        <f>SUM($B$2:B1008)/A1008</f>
        <v>63.966202783300197</v>
      </c>
    </row>
    <row r="1009" spans="1:3" x14ac:dyDescent="0.2">
      <c r="A1009">
        <v>1007</v>
      </c>
      <c r="B1009">
        <f t="shared" si="16"/>
        <v>0</v>
      </c>
      <c r="C1009">
        <f>SUM($B$2:B1009)/A1009</f>
        <v>63.902681231380335</v>
      </c>
    </row>
    <row r="1010" spans="1:3" x14ac:dyDescent="0.2">
      <c r="A1010">
        <v>1008</v>
      </c>
      <c r="B1010">
        <f t="shared" si="16"/>
        <v>0</v>
      </c>
      <c r="C1010">
        <f>SUM($B$2:B1010)/A1010</f>
        <v>63.839285714285715</v>
      </c>
    </row>
    <row r="1011" spans="1:3" x14ac:dyDescent="0.2">
      <c r="A1011">
        <v>1009</v>
      </c>
      <c r="B1011">
        <f t="shared" si="16"/>
        <v>0</v>
      </c>
      <c r="C1011">
        <f>SUM($B$2:B1011)/A1011</f>
        <v>63.776015857284442</v>
      </c>
    </row>
    <row r="1012" spans="1:3" x14ac:dyDescent="0.2">
      <c r="A1012">
        <v>1010</v>
      </c>
      <c r="B1012">
        <f t="shared" si="16"/>
        <v>0</v>
      </c>
      <c r="C1012">
        <f>SUM($B$2:B1012)/A1012</f>
        <v>63.712871287128714</v>
      </c>
    </row>
    <row r="1013" spans="1:3" x14ac:dyDescent="0.2">
      <c r="A1013">
        <v>1011</v>
      </c>
      <c r="B1013">
        <f t="shared" si="16"/>
        <v>0</v>
      </c>
      <c r="C1013">
        <f>SUM($B$2:B1013)/A1013</f>
        <v>63.649851632047479</v>
      </c>
    </row>
    <row r="1014" spans="1:3" x14ac:dyDescent="0.2">
      <c r="A1014">
        <v>1012</v>
      </c>
      <c r="B1014">
        <f t="shared" si="16"/>
        <v>0</v>
      </c>
      <c r="C1014">
        <f>SUM($B$2:B1014)/A1014</f>
        <v>63.586956521739133</v>
      </c>
    </row>
    <row r="1015" spans="1:3" x14ac:dyDescent="0.2">
      <c r="A1015">
        <v>1013</v>
      </c>
      <c r="B1015">
        <f t="shared" si="16"/>
        <v>0</v>
      </c>
      <c r="C1015">
        <f>SUM($B$2:B1015)/A1015</f>
        <v>63.524185587364265</v>
      </c>
    </row>
    <row r="1016" spans="1:3" x14ac:dyDescent="0.2">
      <c r="A1016">
        <v>1014</v>
      </c>
      <c r="B1016">
        <f t="shared" si="16"/>
        <v>0</v>
      </c>
      <c r="C1016">
        <f>SUM($B$2:B1016)/A1016</f>
        <v>63.46153846153846</v>
      </c>
    </row>
    <row r="1017" spans="1:3" x14ac:dyDescent="0.2">
      <c r="A1017">
        <v>1015</v>
      </c>
      <c r="B1017">
        <f t="shared" si="16"/>
        <v>0</v>
      </c>
      <c r="C1017">
        <f>SUM($B$2:B1017)/A1017</f>
        <v>63.399014778325125</v>
      </c>
    </row>
    <row r="1018" spans="1:3" x14ac:dyDescent="0.2">
      <c r="A1018">
        <v>1016</v>
      </c>
      <c r="B1018">
        <f t="shared" si="16"/>
        <v>0</v>
      </c>
      <c r="C1018">
        <f>SUM($B$2:B1018)/A1018</f>
        <v>63.336614173228348</v>
      </c>
    </row>
    <row r="1019" spans="1:3" x14ac:dyDescent="0.2">
      <c r="A1019">
        <v>1017</v>
      </c>
      <c r="B1019">
        <f t="shared" si="16"/>
        <v>0</v>
      </c>
      <c r="C1019">
        <f>SUM($B$2:B1019)/A1019</f>
        <v>63.274336283185839</v>
      </c>
    </row>
    <row r="1020" spans="1:3" x14ac:dyDescent="0.2">
      <c r="A1020">
        <v>1018</v>
      </c>
      <c r="B1020">
        <f t="shared" si="16"/>
        <v>0</v>
      </c>
      <c r="C1020">
        <f>SUM($B$2:B1020)/A1020</f>
        <v>63.212180746561884</v>
      </c>
    </row>
    <row r="1021" spans="1:3" x14ac:dyDescent="0.2">
      <c r="A1021">
        <v>1019</v>
      </c>
      <c r="B1021">
        <f t="shared" si="16"/>
        <v>0</v>
      </c>
      <c r="C1021">
        <f>SUM($B$2:B1021)/A1021</f>
        <v>63.150147203140335</v>
      </c>
    </row>
    <row r="1022" spans="1:3" x14ac:dyDescent="0.2">
      <c r="A1022">
        <v>1020</v>
      </c>
      <c r="B1022">
        <f t="shared" si="16"/>
        <v>0</v>
      </c>
      <c r="C1022">
        <f>SUM($B$2:B1022)/A1022</f>
        <v>63.088235294117645</v>
      </c>
    </row>
    <row r="1023" spans="1:3" x14ac:dyDescent="0.2">
      <c r="A1023">
        <v>1021</v>
      </c>
      <c r="B1023">
        <f t="shared" si="16"/>
        <v>0</v>
      </c>
      <c r="C1023">
        <f>SUM($B$2:B1023)/A1023</f>
        <v>63.026444662095983</v>
      </c>
    </row>
    <row r="1024" spans="1:3" x14ac:dyDescent="0.2">
      <c r="A1024">
        <v>1022</v>
      </c>
      <c r="B1024">
        <f t="shared" si="16"/>
        <v>0</v>
      </c>
      <c r="C1024">
        <f>SUM($B$2:B1024)/A1024</f>
        <v>62.964774951076322</v>
      </c>
    </row>
    <row r="1025" spans="1:3" x14ac:dyDescent="0.2">
      <c r="A1025">
        <v>1023</v>
      </c>
      <c r="B1025">
        <f t="shared" si="16"/>
        <v>0</v>
      </c>
      <c r="C1025">
        <f>SUM($B$2:B1025)/A1025</f>
        <v>62.903225806451616</v>
      </c>
    </row>
    <row r="1026" spans="1:3" x14ac:dyDescent="0.2">
      <c r="A1026">
        <v>1024</v>
      </c>
      <c r="B1026">
        <f t="shared" si="16"/>
        <v>0</v>
      </c>
      <c r="C1026">
        <f>SUM($B$2:B1026)/A1026</f>
        <v>62.841796875</v>
      </c>
    </row>
    <row r="1027" spans="1:3" x14ac:dyDescent="0.2">
      <c r="A1027">
        <v>1025</v>
      </c>
      <c r="B1027">
        <f t="shared" si="16"/>
        <v>0</v>
      </c>
      <c r="C1027">
        <f>SUM($B$2:B1027)/A1027</f>
        <v>62.780487804878049</v>
      </c>
    </row>
    <row r="1028" spans="1:3" x14ac:dyDescent="0.2">
      <c r="A1028">
        <v>1026</v>
      </c>
      <c r="B1028">
        <f t="shared" si="16"/>
        <v>0</v>
      </c>
      <c r="C1028">
        <f>SUM($B$2:B1028)/A1028</f>
        <v>62.719298245614034</v>
      </c>
    </row>
    <row r="1029" spans="1:3" x14ac:dyDescent="0.2">
      <c r="A1029">
        <v>1027</v>
      </c>
      <c r="B1029">
        <f t="shared" ref="B1029:B1092" si="17">IF((A1028-IF(A1028+1/120&gt;1,ROUNDDOWN(A1028/120,0)*120,0))/20&lt;1,ROUNDDOWN((A1028-120*ROUNDDOWN(A1028/120,0))/2,0)*65+65,0)</f>
        <v>0</v>
      </c>
      <c r="C1029">
        <f>SUM($B$2:B1029)/A1029</f>
        <v>62.658227848101269</v>
      </c>
    </row>
    <row r="1030" spans="1:3" x14ac:dyDescent="0.2">
      <c r="A1030">
        <v>1028</v>
      </c>
      <c r="B1030">
        <f t="shared" si="17"/>
        <v>0</v>
      </c>
      <c r="C1030">
        <f>SUM($B$2:B1030)/A1030</f>
        <v>62.597276264591443</v>
      </c>
    </row>
    <row r="1031" spans="1:3" x14ac:dyDescent="0.2">
      <c r="A1031">
        <v>1029</v>
      </c>
      <c r="B1031">
        <f t="shared" si="17"/>
        <v>0</v>
      </c>
      <c r="C1031">
        <f>SUM($B$2:B1031)/A1031</f>
        <v>62.536443148688043</v>
      </c>
    </row>
    <row r="1032" spans="1:3" x14ac:dyDescent="0.2">
      <c r="A1032">
        <v>1030</v>
      </c>
      <c r="B1032">
        <f t="shared" si="17"/>
        <v>0</v>
      </c>
      <c r="C1032">
        <f>SUM($B$2:B1032)/A1032</f>
        <v>62.475728155339809</v>
      </c>
    </row>
    <row r="1033" spans="1:3" x14ac:dyDescent="0.2">
      <c r="A1033">
        <v>1031</v>
      </c>
      <c r="B1033">
        <f t="shared" si="17"/>
        <v>0</v>
      </c>
      <c r="C1033">
        <f>SUM($B$2:B1033)/A1033</f>
        <v>62.415130940834139</v>
      </c>
    </row>
    <row r="1034" spans="1:3" x14ac:dyDescent="0.2">
      <c r="A1034">
        <v>1032</v>
      </c>
      <c r="B1034">
        <f t="shared" si="17"/>
        <v>0</v>
      </c>
      <c r="C1034">
        <f>SUM($B$2:B1034)/A1034</f>
        <v>62.354651162790695</v>
      </c>
    </row>
    <row r="1035" spans="1:3" x14ac:dyDescent="0.2">
      <c r="A1035">
        <v>1033</v>
      </c>
      <c r="B1035">
        <f t="shared" si="17"/>
        <v>0</v>
      </c>
      <c r="C1035">
        <f>SUM($B$2:B1035)/A1035</f>
        <v>62.29428848015489</v>
      </c>
    </row>
    <row r="1036" spans="1:3" x14ac:dyDescent="0.2">
      <c r="A1036">
        <v>1034</v>
      </c>
      <c r="B1036">
        <f t="shared" si="17"/>
        <v>0</v>
      </c>
      <c r="C1036">
        <f>SUM($B$2:B1036)/A1036</f>
        <v>62.234042553191486</v>
      </c>
    </row>
    <row r="1037" spans="1:3" x14ac:dyDescent="0.2">
      <c r="A1037">
        <v>1035</v>
      </c>
      <c r="B1037">
        <f t="shared" si="17"/>
        <v>0</v>
      </c>
      <c r="C1037">
        <f>SUM($B$2:B1037)/A1037</f>
        <v>62.173913043478258</v>
      </c>
    </row>
    <row r="1038" spans="1:3" x14ac:dyDescent="0.2">
      <c r="A1038">
        <v>1036</v>
      </c>
      <c r="B1038">
        <f t="shared" si="17"/>
        <v>0</v>
      </c>
      <c r="C1038">
        <f>SUM($B$2:B1038)/A1038</f>
        <v>62.113899613899612</v>
      </c>
    </row>
    <row r="1039" spans="1:3" x14ac:dyDescent="0.2">
      <c r="A1039">
        <v>1037</v>
      </c>
      <c r="B1039">
        <f t="shared" si="17"/>
        <v>0</v>
      </c>
      <c r="C1039">
        <f>SUM($B$2:B1039)/A1039</f>
        <v>62.054001928640311</v>
      </c>
    </row>
    <row r="1040" spans="1:3" x14ac:dyDescent="0.2">
      <c r="A1040">
        <v>1038</v>
      </c>
      <c r="B1040">
        <f t="shared" si="17"/>
        <v>0</v>
      </c>
      <c r="C1040">
        <f>SUM($B$2:B1040)/A1040</f>
        <v>61.994219653179194</v>
      </c>
    </row>
    <row r="1041" spans="1:3" x14ac:dyDescent="0.2">
      <c r="A1041">
        <v>1039</v>
      </c>
      <c r="B1041">
        <f t="shared" si="17"/>
        <v>0</v>
      </c>
      <c r="C1041">
        <f>SUM($B$2:B1041)/A1041</f>
        <v>61.934552454282965</v>
      </c>
    </row>
    <row r="1042" spans="1:3" x14ac:dyDescent="0.2">
      <c r="A1042">
        <v>1040</v>
      </c>
      <c r="B1042">
        <f t="shared" si="17"/>
        <v>0</v>
      </c>
      <c r="C1042">
        <f>SUM($B$2:B1042)/A1042</f>
        <v>61.875</v>
      </c>
    </row>
    <row r="1043" spans="1:3" x14ac:dyDescent="0.2">
      <c r="A1043">
        <v>1041</v>
      </c>
      <c r="B1043">
        <f t="shared" si="17"/>
        <v>0</v>
      </c>
      <c r="C1043">
        <f>SUM($B$2:B1043)/A1043</f>
        <v>61.815561959654175</v>
      </c>
    </row>
    <row r="1044" spans="1:3" x14ac:dyDescent="0.2">
      <c r="A1044">
        <v>1042</v>
      </c>
      <c r="B1044">
        <f t="shared" si="17"/>
        <v>0</v>
      </c>
      <c r="C1044">
        <f>SUM($B$2:B1044)/A1044</f>
        <v>61.756238003838774</v>
      </c>
    </row>
    <row r="1045" spans="1:3" x14ac:dyDescent="0.2">
      <c r="A1045">
        <v>1043</v>
      </c>
      <c r="B1045">
        <f t="shared" si="17"/>
        <v>0</v>
      </c>
      <c r="C1045">
        <f>SUM($B$2:B1045)/A1045</f>
        <v>61.697027804410354</v>
      </c>
    </row>
    <row r="1046" spans="1:3" x14ac:dyDescent="0.2">
      <c r="A1046">
        <v>1044</v>
      </c>
      <c r="B1046">
        <f t="shared" si="17"/>
        <v>0</v>
      </c>
      <c r="C1046">
        <f>SUM($B$2:B1046)/A1046</f>
        <v>61.637931034482762</v>
      </c>
    </row>
    <row r="1047" spans="1:3" x14ac:dyDescent="0.2">
      <c r="A1047">
        <v>1045</v>
      </c>
      <c r="B1047">
        <f t="shared" si="17"/>
        <v>0</v>
      </c>
      <c r="C1047">
        <f>SUM($B$2:B1047)/A1047</f>
        <v>61.578947368421055</v>
      </c>
    </row>
    <row r="1048" spans="1:3" x14ac:dyDescent="0.2">
      <c r="A1048">
        <v>1046</v>
      </c>
      <c r="B1048">
        <f t="shared" si="17"/>
        <v>0</v>
      </c>
      <c r="C1048">
        <f>SUM($B$2:B1048)/A1048</f>
        <v>61.520076481835567</v>
      </c>
    </row>
    <row r="1049" spans="1:3" x14ac:dyDescent="0.2">
      <c r="A1049">
        <v>1047</v>
      </c>
      <c r="B1049">
        <f t="shared" si="17"/>
        <v>0</v>
      </c>
      <c r="C1049">
        <f>SUM($B$2:B1049)/A1049</f>
        <v>61.46131805157593</v>
      </c>
    </row>
    <row r="1050" spans="1:3" x14ac:dyDescent="0.2">
      <c r="A1050">
        <v>1048</v>
      </c>
      <c r="B1050">
        <f t="shared" si="17"/>
        <v>0</v>
      </c>
      <c r="C1050">
        <f>SUM($B$2:B1050)/A1050</f>
        <v>61.402671755725194</v>
      </c>
    </row>
    <row r="1051" spans="1:3" x14ac:dyDescent="0.2">
      <c r="A1051">
        <v>1049</v>
      </c>
      <c r="B1051">
        <f t="shared" si="17"/>
        <v>0</v>
      </c>
      <c r="C1051">
        <f>SUM($B$2:B1051)/A1051</f>
        <v>61.344137273593901</v>
      </c>
    </row>
    <row r="1052" spans="1:3" x14ac:dyDescent="0.2">
      <c r="A1052">
        <v>1050</v>
      </c>
      <c r="B1052">
        <f t="shared" si="17"/>
        <v>0</v>
      </c>
      <c r="C1052">
        <f>SUM($B$2:B1052)/A1052</f>
        <v>61.285714285714285</v>
      </c>
    </row>
    <row r="1053" spans="1:3" x14ac:dyDescent="0.2">
      <c r="A1053">
        <v>1051</v>
      </c>
      <c r="B1053">
        <f t="shared" si="17"/>
        <v>0</v>
      </c>
      <c r="C1053">
        <f>SUM($B$2:B1053)/A1053</f>
        <v>61.227402473834445</v>
      </c>
    </row>
    <row r="1054" spans="1:3" x14ac:dyDescent="0.2">
      <c r="A1054">
        <v>1052</v>
      </c>
      <c r="B1054">
        <f t="shared" si="17"/>
        <v>0</v>
      </c>
      <c r="C1054">
        <f>SUM($B$2:B1054)/A1054</f>
        <v>61.169201520912544</v>
      </c>
    </row>
    <row r="1055" spans="1:3" x14ac:dyDescent="0.2">
      <c r="A1055">
        <v>1053</v>
      </c>
      <c r="B1055">
        <f t="shared" si="17"/>
        <v>0</v>
      </c>
      <c r="C1055">
        <f>SUM($B$2:B1055)/A1055</f>
        <v>61.111111111111114</v>
      </c>
    </row>
    <row r="1056" spans="1:3" x14ac:dyDescent="0.2">
      <c r="A1056">
        <v>1054</v>
      </c>
      <c r="B1056">
        <f t="shared" si="17"/>
        <v>0</v>
      </c>
      <c r="C1056">
        <f>SUM($B$2:B1056)/A1056</f>
        <v>61.053130929791273</v>
      </c>
    </row>
    <row r="1057" spans="1:3" x14ac:dyDescent="0.2">
      <c r="A1057">
        <v>1055</v>
      </c>
      <c r="B1057">
        <f t="shared" si="17"/>
        <v>0</v>
      </c>
      <c r="C1057">
        <f>SUM($B$2:B1057)/A1057</f>
        <v>60.995260663507111</v>
      </c>
    </row>
    <row r="1058" spans="1:3" x14ac:dyDescent="0.2">
      <c r="A1058">
        <v>1056</v>
      </c>
      <c r="B1058">
        <f t="shared" si="17"/>
        <v>0</v>
      </c>
      <c r="C1058">
        <f>SUM($B$2:B1058)/A1058</f>
        <v>60.9375</v>
      </c>
    </row>
    <row r="1059" spans="1:3" x14ac:dyDescent="0.2">
      <c r="A1059">
        <v>1057</v>
      </c>
      <c r="B1059">
        <f t="shared" si="17"/>
        <v>0</v>
      </c>
      <c r="C1059">
        <f>SUM($B$2:B1059)/A1059</f>
        <v>60.879848628193002</v>
      </c>
    </row>
    <row r="1060" spans="1:3" x14ac:dyDescent="0.2">
      <c r="A1060">
        <v>1058</v>
      </c>
      <c r="B1060">
        <f t="shared" si="17"/>
        <v>0</v>
      </c>
      <c r="C1060">
        <f>SUM($B$2:B1060)/A1060</f>
        <v>60.822306238185256</v>
      </c>
    </row>
    <row r="1061" spans="1:3" x14ac:dyDescent="0.2">
      <c r="A1061">
        <v>1059</v>
      </c>
      <c r="B1061">
        <f t="shared" si="17"/>
        <v>0</v>
      </c>
      <c r="C1061">
        <f>SUM($B$2:B1061)/A1061</f>
        <v>60.76487252124646</v>
      </c>
    </row>
    <row r="1062" spans="1:3" x14ac:dyDescent="0.2">
      <c r="A1062">
        <v>1060</v>
      </c>
      <c r="B1062">
        <f t="shared" si="17"/>
        <v>0</v>
      </c>
      <c r="C1062">
        <f>SUM($B$2:B1062)/A1062</f>
        <v>60.70754716981132</v>
      </c>
    </row>
    <row r="1063" spans="1:3" x14ac:dyDescent="0.2">
      <c r="A1063">
        <v>1061</v>
      </c>
      <c r="B1063">
        <f t="shared" si="17"/>
        <v>0</v>
      </c>
      <c r="C1063">
        <f>SUM($B$2:B1063)/A1063</f>
        <v>60.650329877474078</v>
      </c>
    </row>
    <row r="1064" spans="1:3" x14ac:dyDescent="0.2">
      <c r="A1064">
        <v>1062</v>
      </c>
      <c r="B1064">
        <f t="shared" si="17"/>
        <v>0</v>
      </c>
      <c r="C1064">
        <f>SUM($B$2:B1064)/A1064</f>
        <v>60.593220338983052</v>
      </c>
    </row>
    <row r="1065" spans="1:3" x14ac:dyDescent="0.2">
      <c r="A1065">
        <v>1063</v>
      </c>
      <c r="B1065">
        <f t="shared" si="17"/>
        <v>0</v>
      </c>
      <c r="C1065">
        <f>SUM($B$2:B1065)/A1065</f>
        <v>60.53621825023518</v>
      </c>
    </row>
    <row r="1066" spans="1:3" x14ac:dyDescent="0.2">
      <c r="A1066">
        <v>1064</v>
      </c>
      <c r="B1066">
        <f t="shared" si="17"/>
        <v>0</v>
      </c>
      <c r="C1066">
        <f>SUM($B$2:B1066)/A1066</f>
        <v>60.479323308270679</v>
      </c>
    </row>
    <row r="1067" spans="1:3" x14ac:dyDescent="0.2">
      <c r="A1067">
        <v>1065</v>
      </c>
      <c r="B1067">
        <f t="shared" si="17"/>
        <v>0</v>
      </c>
      <c r="C1067">
        <f>SUM($B$2:B1067)/A1067</f>
        <v>60.422535211267608</v>
      </c>
    </row>
    <row r="1068" spans="1:3" x14ac:dyDescent="0.2">
      <c r="A1068">
        <v>1066</v>
      </c>
      <c r="B1068">
        <f t="shared" si="17"/>
        <v>0</v>
      </c>
      <c r="C1068">
        <f>SUM($B$2:B1068)/A1068</f>
        <v>60.365853658536587</v>
      </c>
    </row>
    <row r="1069" spans="1:3" x14ac:dyDescent="0.2">
      <c r="A1069">
        <v>1067</v>
      </c>
      <c r="B1069">
        <f t="shared" si="17"/>
        <v>0</v>
      </c>
      <c r="C1069">
        <f>SUM($B$2:B1069)/A1069</f>
        <v>60.309278350515463</v>
      </c>
    </row>
    <row r="1070" spans="1:3" x14ac:dyDescent="0.2">
      <c r="A1070">
        <v>1068</v>
      </c>
      <c r="B1070">
        <f t="shared" si="17"/>
        <v>0</v>
      </c>
      <c r="C1070">
        <f>SUM($B$2:B1070)/A1070</f>
        <v>60.252808988764045</v>
      </c>
    </row>
    <row r="1071" spans="1:3" x14ac:dyDescent="0.2">
      <c r="A1071">
        <v>1069</v>
      </c>
      <c r="B1071">
        <f t="shared" si="17"/>
        <v>0</v>
      </c>
      <c r="C1071">
        <f>SUM($B$2:B1071)/A1071</f>
        <v>60.196445275958837</v>
      </c>
    </row>
    <row r="1072" spans="1:3" x14ac:dyDescent="0.2">
      <c r="A1072">
        <v>1070</v>
      </c>
      <c r="B1072">
        <f t="shared" si="17"/>
        <v>0</v>
      </c>
      <c r="C1072">
        <f>SUM($B$2:B1072)/A1072</f>
        <v>60.140186915887853</v>
      </c>
    </row>
    <row r="1073" spans="1:3" x14ac:dyDescent="0.2">
      <c r="A1073">
        <v>1071</v>
      </c>
      <c r="B1073">
        <f t="shared" si="17"/>
        <v>0</v>
      </c>
      <c r="C1073">
        <f>SUM($B$2:B1073)/A1073</f>
        <v>60.084033613445378</v>
      </c>
    </row>
    <row r="1074" spans="1:3" x14ac:dyDescent="0.2">
      <c r="A1074">
        <v>1072</v>
      </c>
      <c r="B1074">
        <f t="shared" si="17"/>
        <v>0</v>
      </c>
      <c r="C1074">
        <f>SUM($B$2:B1074)/A1074</f>
        <v>60.027985074626862</v>
      </c>
    </row>
    <row r="1075" spans="1:3" x14ac:dyDescent="0.2">
      <c r="A1075">
        <v>1073</v>
      </c>
      <c r="B1075">
        <f t="shared" si="17"/>
        <v>0</v>
      </c>
      <c r="C1075">
        <f>SUM($B$2:B1075)/A1075</f>
        <v>59.972041006523767</v>
      </c>
    </row>
    <row r="1076" spans="1:3" x14ac:dyDescent="0.2">
      <c r="A1076">
        <v>1074</v>
      </c>
      <c r="B1076">
        <f t="shared" si="17"/>
        <v>0</v>
      </c>
      <c r="C1076">
        <f>SUM($B$2:B1076)/A1076</f>
        <v>59.916201117318437</v>
      </c>
    </row>
    <row r="1077" spans="1:3" x14ac:dyDescent="0.2">
      <c r="A1077">
        <v>1075</v>
      </c>
      <c r="B1077">
        <f t="shared" si="17"/>
        <v>0</v>
      </c>
      <c r="C1077">
        <f>SUM($B$2:B1077)/A1077</f>
        <v>59.860465116279073</v>
      </c>
    </row>
    <row r="1078" spans="1:3" x14ac:dyDescent="0.2">
      <c r="A1078">
        <v>1076</v>
      </c>
      <c r="B1078">
        <f t="shared" si="17"/>
        <v>0</v>
      </c>
      <c r="C1078">
        <f>SUM($B$2:B1078)/A1078</f>
        <v>59.804832713754649</v>
      </c>
    </row>
    <row r="1079" spans="1:3" x14ac:dyDescent="0.2">
      <c r="A1079">
        <v>1077</v>
      </c>
      <c r="B1079">
        <f t="shared" si="17"/>
        <v>0</v>
      </c>
      <c r="C1079">
        <f>SUM($B$2:B1079)/A1079</f>
        <v>59.749303621169915</v>
      </c>
    </row>
    <row r="1080" spans="1:3" x14ac:dyDescent="0.2">
      <c r="A1080">
        <v>1078</v>
      </c>
      <c r="B1080">
        <f t="shared" si="17"/>
        <v>0</v>
      </c>
      <c r="C1080">
        <f>SUM($B$2:B1080)/A1080</f>
        <v>59.693877551020407</v>
      </c>
    </row>
    <row r="1081" spans="1:3" x14ac:dyDescent="0.2">
      <c r="A1081">
        <v>1079</v>
      </c>
      <c r="B1081">
        <f t="shared" si="17"/>
        <v>0</v>
      </c>
      <c r="C1081">
        <f>SUM($B$2:B1081)/A1081</f>
        <v>59.638554216867469</v>
      </c>
    </row>
    <row r="1082" spans="1:3" x14ac:dyDescent="0.2">
      <c r="A1082">
        <v>1080</v>
      </c>
      <c r="B1082">
        <f t="shared" si="17"/>
        <v>0</v>
      </c>
      <c r="C1082">
        <f>SUM($B$2:B1082)/A1082</f>
        <v>59.583333333333336</v>
      </c>
    </row>
    <row r="1083" spans="1:3" x14ac:dyDescent="0.2">
      <c r="A1083">
        <v>1081</v>
      </c>
      <c r="B1083">
        <f t="shared" si="17"/>
        <v>65</v>
      </c>
      <c r="C1083">
        <f>SUM($B$2:B1083)/A1083</f>
        <v>59.588344125809435</v>
      </c>
    </row>
    <row r="1084" spans="1:3" x14ac:dyDescent="0.2">
      <c r="A1084">
        <v>1082</v>
      </c>
      <c r="B1084">
        <f t="shared" si="17"/>
        <v>65</v>
      </c>
      <c r="C1084">
        <f>SUM($B$2:B1084)/A1084</f>
        <v>59.593345656192234</v>
      </c>
    </row>
    <row r="1085" spans="1:3" x14ac:dyDescent="0.2">
      <c r="A1085">
        <v>1083</v>
      </c>
      <c r="B1085">
        <f t="shared" si="17"/>
        <v>130</v>
      </c>
      <c r="C1085">
        <f>SUM($B$2:B1085)/A1085</f>
        <v>59.658356417359187</v>
      </c>
    </row>
    <row r="1086" spans="1:3" x14ac:dyDescent="0.2">
      <c r="A1086">
        <v>1084</v>
      </c>
      <c r="B1086">
        <f t="shared" si="17"/>
        <v>130</v>
      </c>
      <c r="C1086">
        <f>SUM($B$2:B1086)/A1086</f>
        <v>59.723247232472325</v>
      </c>
    </row>
    <row r="1087" spans="1:3" x14ac:dyDescent="0.2">
      <c r="A1087">
        <v>1085</v>
      </c>
      <c r="B1087">
        <f t="shared" si="17"/>
        <v>195</v>
      </c>
      <c r="C1087">
        <f>SUM($B$2:B1087)/A1087</f>
        <v>59.847926267281103</v>
      </c>
    </row>
    <row r="1088" spans="1:3" x14ac:dyDescent="0.2">
      <c r="A1088">
        <v>1086</v>
      </c>
      <c r="B1088">
        <f t="shared" si="17"/>
        <v>195</v>
      </c>
      <c r="C1088">
        <f>SUM($B$2:B1088)/A1088</f>
        <v>59.972375690607734</v>
      </c>
    </row>
    <row r="1089" spans="1:3" x14ac:dyDescent="0.2">
      <c r="A1089">
        <v>1087</v>
      </c>
      <c r="B1089">
        <f t="shared" si="17"/>
        <v>260</v>
      </c>
      <c r="C1089">
        <f>SUM($B$2:B1089)/A1089</f>
        <v>60.156393744250231</v>
      </c>
    </row>
    <row r="1090" spans="1:3" x14ac:dyDescent="0.2">
      <c r="A1090">
        <v>1088</v>
      </c>
      <c r="B1090">
        <f t="shared" si="17"/>
        <v>260</v>
      </c>
      <c r="C1090">
        <f>SUM($B$2:B1090)/A1090</f>
        <v>60.340073529411768</v>
      </c>
    </row>
    <row r="1091" spans="1:3" x14ac:dyDescent="0.2">
      <c r="A1091">
        <v>1089</v>
      </c>
      <c r="B1091">
        <f t="shared" si="17"/>
        <v>325</v>
      </c>
      <c r="C1091">
        <f>SUM($B$2:B1091)/A1091</f>
        <v>60.583103764921944</v>
      </c>
    </row>
    <row r="1092" spans="1:3" x14ac:dyDescent="0.2">
      <c r="A1092">
        <v>1090</v>
      </c>
      <c r="B1092">
        <f t="shared" si="17"/>
        <v>325</v>
      </c>
      <c r="C1092">
        <f>SUM($B$2:B1092)/A1092</f>
        <v>60.825688073394495</v>
      </c>
    </row>
    <row r="1093" spans="1:3" x14ac:dyDescent="0.2">
      <c r="A1093">
        <v>1091</v>
      </c>
      <c r="B1093">
        <f t="shared" ref="B1093:B1156" si="18">IF((A1092-IF(A1092+1/120&gt;1,ROUNDDOWN(A1092/120,0)*120,0))/20&lt;1,ROUNDDOWN((A1092-120*ROUNDDOWN(A1092/120,0))/2,0)*65+65,0)</f>
        <v>390</v>
      </c>
      <c r="C1093">
        <f>SUM($B$2:B1093)/A1093</f>
        <v>61.127406049495875</v>
      </c>
    </row>
    <row r="1094" spans="1:3" x14ac:dyDescent="0.2">
      <c r="A1094">
        <v>1092</v>
      </c>
      <c r="B1094">
        <f t="shared" si="18"/>
        <v>390</v>
      </c>
      <c r="C1094">
        <f>SUM($B$2:B1094)/A1094</f>
        <v>61.428571428571431</v>
      </c>
    </row>
    <row r="1095" spans="1:3" x14ac:dyDescent="0.2">
      <c r="A1095">
        <v>1093</v>
      </c>
      <c r="B1095">
        <f t="shared" si="18"/>
        <v>455</v>
      </c>
      <c r="C1095">
        <f>SUM($B$2:B1095)/A1095</f>
        <v>61.788655077767615</v>
      </c>
    </row>
    <row r="1096" spans="1:3" x14ac:dyDescent="0.2">
      <c r="A1096">
        <v>1094</v>
      </c>
      <c r="B1096">
        <f t="shared" si="18"/>
        <v>455</v>
      </c>
      <c r="C1096">
        <f>SUM($B$2:B1096)/A1096</f>
        <v>62.148080438756857</v>
      </c>
    </row>
    <row r="1097" spans="1:3" x14ac:dyDescent="0.2">
      <c r="A1097">
        <v>1095</v>
      </c>
      <c r="B1097">
        <f t="shared" si="18"/>
        <v>520</v>
      </c>
      <c r="C1097">
        <f>SUM($B$2:B1097)/A1097</f>
        <v>62.566210045662103</v>
      </c>
    </row>
    <row r="1098" spans="1:3" x14ac:dyDescent="0.2">
      <c r="A1098">
        <v>1096</v>
      </c>
      <c r="B1098">
        <f t="shared" si="18"/>
        <v>520</v>
      </c>
      <c r="C1098">
        <f>SUM($B$2:B1098)/A1098</f>
        <v>62.98357664233577</v>
      </c>
    </row>
    <row r="1099" spans="1:3" x14ac:dyDescent="0.2">
      <c r="A1099">
        <v>1097</v>
      </c>
      <c r="B1099">
        <f t="shared" si="18"/>
        <v>585</v>
      </c>
      <c r="C1099">
        <f>SUM($B$2:B1099)/A1099</f>
        <v>63.459434822242478</v>
      </c>
    </row>
    <row r="1100" spans="1:3" x14ac:dyDescent="0.2">
      <c r="A1100">
        <v>1098</v>
      </c>
      <c r="B1100">
        <f t="shared" si="18"/>
        <v>585</v>
      </c>
      <c r="C1100">
        <f>SUM($B$2:B1100)/A1100</f>
        <v>63.934426229508198</v>
      </c>
    </row>
    <row r="1101" spans="1:3" x14ac:dyDescent="0.2">
      <c r="A1101">
        <v>1099</v>
      </c>
      <c r="B1101">
        <f t="shared" si="18"/>
        <v>650</v>
      </c>
      <c r="C1101">
        <f>SUM($B$2:B1101)/A1101</f>
        <v>64.467697907188352</v>
      </c>
    </row>
    <row r="1102" spans="1:3" x14ac:dyDescent="0.2">
      <c r="A1102">
        <v>1100</v>
      </c>
      <c r="B1102">
        <f t="shared" si="18"/>
        <v>650</v>
      </c>
      <c r="C1102">
        <f>SUM($B$2:B1102)/A1102</f>
        <v>65</v>
      </c>
    </row>
    <row r="1103" spans="1:3" x14ac:dyDescent="0.2">
      <c r="A1103">
        <v>1101</v>
      </c>
      <c r="B1103">
        <f t="shared" si="18"/>
        <v>0</v>
      </c>
      <c r="C1103">
        <f>SUM($B$2:B1103)/A1103</f>
        <v>64.940962761126244</v>
      </c>
    </row>
    <row r="1104" spans="1:3" x14ac:dyDescent="0.2">
      <c r="A1104">
        <v>1102</v>
      </c>
      <c r="B1104">
        <f t="shared" si="18"/>
        <v>0</v>
      </c>
      <c r="C1104">
        <f>SUM($B$2:B1104)/A1104</f>
        <v>64.882032667876587</v>
      </c>
    </row>
    <row r="1105" spans="1:3" x14ac:dyDescent="0.2">
      <c r="A1105">
        <v>1103</v>
      </c>
      <c r="B1105">
        <f t="shared" si="18"/>
        <v>0</v>
      </c>
      <c r="C1105">
        <f>SUM($B$2:B1105)/A1105</f>
        <v>64.823209428830467</v>
      </c>
    </row>
    <row r="1106" spans="1:3" x14ac:dyDescent="0.2">
      <c r="A1106">
        <v>1104</v>
      </c>
      <c r="B1106">
        <f t="shared" si="18"/>
        <v>0</v>
      </c>
      <c r="C1106">
        <f>SUM($B$2:B1106)/A1106</f>
        <v>64.764492753623188</v>
      </c>
    </row>
    <row r="1107" spans="1:3" x14ac:dyDescent="0.2">
      <c r="A1107">
        <v>1105</v>
      </c>
      <c r="B1107">
        <f t="shared" si="18"/>
        <v>0</v>
      </c>
      <c r="C1107">
        <f>SUM($B$2:B1107)/A1107</f>
        <v>64.705882352941174</v>
      </c>
    </row>
    <row r="1108" spans="1:3" x14ac:dyDescent="0.2">
      <c r="A1108">
        <v>1106</v>
      </c>
      <c r="B1108">
        <f t="shared" si="18"/>
        <v>0</v>
      </c>
      <c r="C1108">
        <f>SUM($B$2:B1108)/A1108</f>
        <v>64.647377938517181</v>
      </c>
    </row>
    <row r="1109" spans="1:3" x14ac:dyDescent="0.2">
      <c r="A1109">
        <v>1107</v>
      </c>
      <c r="B1109">
        <f t="shared" si="18"/>
        <v>0</v>
      </c>
      <c r="C1109">
        <f>SUM($B$2:B1109)/A1109</f>
        <v>64.588979223125563</v>
      </c>
    </row>
    <row r="1110" spans="1:3" x14ac:dyDescent="0.2">
      <c r="A1110">
        <v>1108</v>
      </c>
      <c r="B1110">
        <f t="shared" si="18"/>
        <v>0</v>
      </c>
      <c r="C1110">
        <f>SUM($B$2:B1110)/A1110</f>
        <v>64.530685920577611</v>
      </c>
    </row>
    <row r="1111" spans="1:3" x14ac:dyDescent="0.2">
      <c r="A1111">
        <v>1109</v>
      </c>
      <c r="B1111">
        <f t="shared" si="18"/>
        <v>0</v>
      </c>
      <c r="C1111">
        <f>SUM($B$2:B1111)/A1111</f>
        <v>64.472497745716865</v>
      </c>
    </row>
    <row r="1112" spans="1:3" x14ac:dyDescent="0.2">
      <c r="A1112">
        <v>1110</v>
      </c>
      <c r="B1112">
        <f t="shared" si="18"/>
        <v>0</v>
      </c>
      <c r="C1112">
        <f>SUM($B$2:B1112)/A1112</f>
        <v>64.414414414414409</v>
      </c>
    </row>
    <row r="1113" spans="1:3" x14ac:dyDescent="0.2">
      <c r="A1113">
        <v>1111</v>
      </c>
      <c r="B1113">
        <f t="shared" si="18"/>
        <v>0</v>
      </c>
      <c r="C1113">
        <f>SUM($B$2:B1113)/A1113</f>
        <v>64.356435643564353</v>
      </c>
    </row>
    <row r="1114" spans="1:3" x14ac:dyDescent="0.2">
      <c r="A1114">
        <v>1112</v>
      </c>
      <c r="B1114">
        <f t="shared" si="18"/>
        <v>0</v>
      </c>
      <c r="C1114">
        <f>SUM($B$2:B1114)/A1114</f>
        <v>64.298561151079141</v>
      </c>
    </row>
    <row r="1115" spans="1:3" x14ac:dyDescent="0.2">
      <c r="A1115">
        <v>1113</v>
      </c>
      <c r="B1115">
        <f t="shared" si="18"/>
        <v>0</v>
      </c>
      <c r="C1115">
        <f>SUM($B$2:B1115)/A1115</f>
        <v>64.240790655884993</v>
      </c>
    </row>
    <row r="1116" spans="1:3" x14ac:dyDescent="0.2">
      <c r="A1116">
        <v>1114</v>
      </c>
      <c r="B1116">
        <f t="shared" si="18"/>
        <v>0</v>
      </c>
      <c r="C1116">
        <f>SUM($B$2:B1116)/A1116</f>
        <v>64.18312387791741</v>
      </c>
    </row>
    <row r="1117" spans="1:3" x14ac:dyDescent="0.2">
      <c r="A1117">
        <v>1115</v>
      </c>
      <c r="B1117">
        <f t="shared" si="18"/>
        <v>0</v>
      </c>
      <c r="C1117">
        <f>SUM($B$2:B1117)/A1117</f>
        <v>64.125560538116588</v>
      </c>
    </row>
    <row r="1118" spans="1:3" x14ac:dyDescent="0.2">
      <c r="A1118">
        <v>1116</v>
      </c>
      <c r="B1118">
        <f t="shared" si="18"/>
        <v>0</v>
      </c>
      <c r="C1118">
        <f>SUM($B$2:B1118)/A1118</f>
        <v>64.068100358422939</v>
      </c>
    </row>
    <row r="1119" spans="1:3" x14ac:dyDescent="0.2">
      <c r="A1119">
        <v>1117</v>
      </c>
      <c r="B1119">
        <f t="shared" si="18"/>
        <v>0</v>
      </c>
      <c r="C1119">
        <f>SUM($B$2:B1119)/A1119</f>
        <v>64.010743061772601</v>
      </c>
    </row>
    <row r="1120" spans="1:3" x14ac:dyDescent="0.2">
      <c r="A1120">
        <v>1118</v>
      </c>
      <c r="B1120">
        <f t="shared" si="18"/>
        <v>0</v>
      </c>
      <c r="C1120">
        <f>SUM($B$2:B1120)/A1120</f>
        <v>63.953488372093027</v>
      </c>
    </row>
    <row r="1121" spans="1:3" x14ac:dyDescent="0.2">
      <c r="A1121">
        <v>1119</v>
      </c>
      <c r="B1121">
        <f t="shared" si="18"/>
        <v>0</v>
      </c>
      <c r="C1121">
        <f>SUM($B$2:B1121)/A1121</f>
        <v>63.896336014298484</v>
      </c>
    </row>
    <row r="1122" spans="1:3" x14ac:dyDescent="0.2">
      <c r="A1122">
        <v>1120</v>
      </c>
      <c r="B1122">
        <f t="shared" si="18"/>
        <v>0</v>
      </c>
      <c r="C1122">
        <f>SUM($B$2:B1122)/A1122</f>
        <v>63.839285714285715</v>
      </c>
    </row>
    <row r="1123" spans="1:3" x14ac:dyDescent="0.2">
      <c r="A1123">
        <v>1121</v>
      </c>
      <c r="B1123">
        <f t="shared" si="18"/>
        <v>0</v>
      </c>
      <c r="C1123">
        <f>SUM($B$2:B1123)/A1123</f>
        <v>63.782337198929525</v>
      </c>
    </row>
    <row r="1124" spans="1:3" x14ac:dyDescent="0.2">
      <c r="A1124">
        <v>1122</v>
      </c>
      <c r="B1124">
        <f t="shared" si="18"/>
        <v>0</v>
      </c>
      <c r="C1124">
        <f>SUM($B$2:B1124)/A1124</f>
        <v>63.725490196078432</v>
      </c>
    </row>
    <row r="1125" spans="1:3" x14ac:dyDescent="0.2">
      <c r="A1125">
        <v>1123</v>
      </c>
      <c r="B1125">
        <f t="shared" si="18"/>
        <v>0</v>
      </c>
      <c r="C1125">
        <f>SUM($B$2:B1125)/A1125</f>
        <v>63.668744434550312</v>
      </c>
    </row>
    <row r="1126" spans="1:3" x14ac:dyDescent="0.2">
      <c r="A1126">
        <v>1124</v>
      </c>
      <c r="B1126">
        <f t="shared" si="18"/>
        <v>0</v>
      </c>
      <c r="C1126">
        <f>SUM($B$2:B1126)/A1126</f>
        <v>63.612099644128115</v>
      </c>
    </row>
    <row r="1127" spans="1:3" x14ac:dyDescent="0.2">
      <c r="A1127">
        <v>1125</v>
      </c>
      <c r="B1127">
        <f t="shared" si="18"/>
        <v>0</v>
      </c>
      <c r="C1127">
        <f>SUM($B$2:B1127)/A1127</f>
        <v>63.555555555555557</v>
      </c>
    </row>
    <row r="1128" spans="1:3" x14ac:dyDescent="0.2">
      <c r="A1128">
        <v>1126</v>
      </c>
      <c r="B1128">
        <f t="shared" si="18"/>
        <v>0</v>
      </c>
      <c r="C1128">
        <f>SUM($B$2:B1128)/A1128</f>
        <v>63.49911190053286</v>
      </c>
    </row>
    <row r="1129" spans="1:3" x14ac:dyDescent="0.2">
      <c r="A1129">
        <v>1127</v>
      </c>
      <c r="B1129">
        <f t="shared" si="18"/>
        <v>0</v>
      </c>
      <c r="C1129">
        <f>SUM($B$2:B1129)/A1129</f>
        <v>63.442768411712514</v>
      </c>
    </row>
    <row r="1130" spans="1:3" x14ac:dyDescent="0.2">
      <c r="A1130">
        <v>1128</v>
      </c>
      <c r="B1130">
        <f t="shared" si="18"/>
        <v>0</v>
      </c>
      <c r="C1130">
        <f>SUM($B$2:B1130)/A1130</f>
        <v>63.386524822695037</v>
      </c>
    </row>
    <row r="1131" spans="1:3" x14ac:dyDescent="0.2">
      <c r="A1131">
        <v>1129</v>
      </c>
      <c r="B1131">
        <f t="shared" si="18"/>
        <v>0</v>
      </c>
      <c r="C1131">
        <f>SUM($B$2:B1131)/A1131</f>
        <v>63.330380868024804</v>
      </c>
    </row>
    <row r="1132" spans="1:3" x14ac:dyDescent="0.2">
      <c r="A1132">
        <v>1130</v>
      </c>
      <c r="B1132">
        <f t="shared" si="18"/>
        <v>0</v>
      </c>
      <c r="C1132">
        <f>SUM($B$2:B1132)/A1132</f>
        <v>63.274336283185839</v>
      </c>
    </row>
    <row r="1133" spans="1:3" x14ac:dyDescent="0.2">
      <c r="A1133">
        <v>1131</v>
      </c>
      <c r="B1133">
        <f t="shared" si="18"/>
        <v>0</v>
      </c>
      <c r="C1133">
        <f>SUM($B$2:B1133)/A1133</f>
        <v>63.218390804597703</v>
      </c>
    </row>
    <row r="1134" spans="1:3" x14ac:dyDescent="0.2">
      <c r="A1134">
        <v>1132</v>
      </c>
      <c r="B1134">
        <f t="shared" si="18"/>
        <v>0</v>
      </c>
      <c r="C1134">
        <f>SUM($B$2:B1134)/A1134</f>
        <v>63.162544169611309</v>
      </c>
    </row>
    <row r="1135" spans="1:3" x14ac:dyDescent="0.2">
      <c r="A1135">
        <v>1133</v>
      </c>
      <c r="B1135">
        <f t="shared" si="18"/>
        <v>0</v>
      </c>
      <c r="C1135">
        <f>SUM($B$2:B1135)/A1135</f>
        <v>63.106796116504853</v>
      </c>
    </row>
    <row r="1136" spans="1:3" x14ac:dyDescent="0.2">
      <c r="A1136">
        <v>1134</v>
      </c>
      <c r="B1136">
        <f t="shared" si="18"/>
        <v>0</v>
      </c>
      <c r="C1136">
        <f>SUM($B$2:B1136)/A1136</f>
        <v>63.051146384479715</v>
      </c>
    </row>
    <row r="1137" spans="1:3" x14ac:dyDescent="0.2">
      <c r="A1137">
        <v>1135</v>
      </c>
      <c r="B1137">
        <f t="shared" si="18"/>
        <v>0</v>
      </c>
      <c r="C1137">
        <f>SUM($B$2:B1137)/A1137</f>
        <v>62.995594713656388</v>
      </c>
    </row>
    <row r="1138" spans="1:3" x14ac:dyDescent="0.2">
      <c r="A1138">
        <v>1136</v>
      </c>
      <c r="B1138">
        <f t="shared" si="18"/>
        <v>0</v>
      </c>
      <c r="C1138">
        <f>SUM($B$2:B1138)/A1138</f>
        <v>62.940140845070424</v>
      </c>
    </row>
    <row r="1139" spans="1:3" x14ac:dyDescent="0.2">
      <c r="A1139">
        <v>1137</v>
      </c>
      <c r="B1139">
        <f t="shared" si="18"/>
        <v>0</v>
      </c>
      <c r="C1139">
        <f>SUM($B$2:B1139)/A1139</f>
        <v>62.884784520668426</v>
      </c>
    </row>
    <row r="1140" spans="1:3" x14ac:dyDescent="0.2">
      <c r="A1140">
        <v>1138</v>
      </c>
      <c r="B1140">
        <f t="shared" si="18"/>
        <v>0</v>
      </c>
      <c r="C1140">
        <f>SUM($B$2:B1140)/A1140</f>
        <v>62.829525483304039</v>
      </c>
    </row>
    <row r="1141" spans="1:3" x14ac:dyDescent="0.2">
      <c r="A1141">
        <v>1139</v>
      </c>
      <c r="B1141">
        <f t="shared" si="18"/>
        <v>0</v>
      </c>
      <c r="C1141">
        <f>SUM($B$2:B1141)/A1141</f>
        <v>62.774363476733974</v>
      </c>
    </row>
    <row r="1142" spans="1:3" x14ac:dyDescent="0.2">
      <c r="A1142">
        <v>1140</v>
      </c>
      <c r="B1142">
        <f t="shared" si="18"/>
        <v>0</v>
      </c>
      <c r="C1142">
        <f>SUM($B$2:B1142)/A1142</f>
        <v>62.719298245614034</v>
      </c>
    </row>
    <row r="1143" spans="1:3" x14ac:dyDescent="0.2">
      <c r="A1143">
        <v>1141</v>
      </c>
      <c r="B1143">
        <f t="shared" si="18"/>
        <v>0</v>
      </c>
      <c r="C1143">
        <f>SUM($B$2:B1143)/A1143</f>
        <v>62.664329535495177</v>
      </c>
    </row>
    <row r="1144" spans="1:3" x14ac:dyDescent="0.2">
      <c r="A1144">
        <v>1142</v>
      </c>
      <c r="B1144">
        <f t="shared" si="18"/>
        <v>0</v>
      </c>
      <c r="C1144">
        <f>SUM($B$2:B1144)/A1144</f>
        <v>62.609457092819618</v>
      </c>
    </row>
    <row r="1145" spans="1:3" x14ac:dyDescent="0.2">
      <c r="A1145">
        <v>1143</v>
      </c>
      <c r="B1145">
        <f t="shared" si="18"/>
        <v>0</v>
      </c>
      <c r="C1145">
        <f>SUM($B$2:B1145)/A1145</f>
        <v>62.554680664916887</v>
      </c>
    </row>
    <row r="1146" spans="1:3" x14ac:dyDescent="0.2">
      <c r="A1146">
        <v>1144</v>
      </c>
      <c r="B1146">
        <f t="shared" si="18"/>
        <v>0</v>
      </c>
      <c r="C1146">
        <f>SUM($B$2:B1146)/A1146</f>
        <v>62.5</v>
      </c>
    </row>
    <row r="1147" spans="1:3" x14ac:dyDescent="0.2">
      <c r="A1147">
        <v>1145</v>
      </c>
      <c r="B1147">
        <f t="shared" si="18"/>
        <v>0</v>
      </c>
      <c r="C1147">
        <f>SUM($B$2:B1147)/A1147</f>
        <v>62.445414847161572</v>
      </c>
    </row>
    <row r="1148" spans="1:3" x14ac:dyDescent="0.2">
      <c r="A1148">
        <v>1146</v>
      </c>
      <c r="B1148">
        <f t="shared" si="18"/>
        <v>0</v>
      </c>
      <c r="C1148">
        <f>SUM($B$2:B1148)/A1148</f>
        <v>62.390924956369986</v>
      </c>
    </row>
    <row r="1149" spans="1:3" x14ac:dyDescent="0.2">
      <c r="A1149">
        <v>1147</v>
      </c>
      <c r="B1149">
        <f t="shared" si="18"/>
        <v>0</v>
      </c>
      <c r="C1149">
        <f>SUM($B$2:B1149)/A1149</f>
        <v>62.336530078465564</v>
      </c>
    </row>
    <row r="1150" spans="1:3" x14ac:dyDescent="0.2">
      <c r="A1150">
        <v>1148</v>
      </c>
      <c r="B1150">
        <f t="shared" si="18"/>
        <v>0</v>
      </c>
      <c r="C1150">
        <f>SUM($B$2:B1150)/A1150</f>
        <v>62.282229965156795</v>
      </c>
    </row>
    <row r="1151" spans="1:3" x14ac:dyDescent="0.2">
      <c r="A1151">
        <v>1149</v>
      </c>
      <c r="B1151">
        <f t="shared" si="18"/>
        <v>0</v>
      </c>
      <c r="C1151">
        <f>SUM($B$2:B1151)/A1151</f>
        <v>62.228024369016538</v>
      </c>
    </row>
    <row r="1152" spans="1:3" x14ac:dyDescent="0.2">
      <c r="A1152">
        <v>1150</v>
      </c>
      <c r="B1152">
        <f t="shared" si="18"/>
        <v>0</v>
      </c>
      <c r="C1152">
        <f>SUM($B$2:B1152)/A1152</f>
        <v>62.173913043478258</v>
      </c>
    </row>
    <row r="1153" spans="1:3" x14ac:dyDescent="0.2">
      <c r="A1153">
        <v>1151</v>
      </c>
      <c r="B1153">
        <f t="shared" si="18"/>
        <v>0</v>
      </c>
      <c r="C1153">
        <f>SUM($B$2:B1153)/A1153</f>
        <v>62.11989574283232</v>
      </c>
    </row>
    <row r="1154" spans="1:3" x14ac:dyDescent="0.2">
      <c r="A1154">
        <v>1152</v>
      </c>
      <c r="B1154">
        <f t="shared" si="18"/>
        <v>0</v>
      </c>
      <c r="C1154">
        <f>SUM($B$2:B1154)/A1154</f>
        <v>62.065972222222221</v>
      </c>
    </row>
    <row r="1155" spans="1:3" x14ac:dyDescent="0.2">
      <c r="A1155">
        <v>1153</v>
      </c>
      <c r="B1155">
        <f t="shared" si="18"/>
        <v>0</v>
      </c>
      <c r="C1155">
        <f>SUM($B$2:B1155)/A1155</f>
        <v>62.012142237640937</v>
      </c>
    </row>
    <row r="1156" spans="1:3" x14ac:dyDescent="0.2">
      <c r="A1156">
        <v>1154</v>
      </c>
      <c r="B1156">
        <f t="shared" si="18"/>
        <v>0</v>
      </c>
      <c r="C1156">
        <f>SUM($B$2:B1156)/A1156</f>
        <v>61.958405545927207</v>
      </c>
    </row>
    <row r="1157" spans="1:3" x14ac:dyDescent="0.2">
      <c r="A1157">
        <v>1155</v>
      </c>
      <c r="B1157">
        <f t="shared" ref="B1157:B1220" si="19">IF((A1156-IF(A1156+1/120&gt;1,ROUNDDOWN(A1156/120,0)*120,0))/20&lt;1,ROUNDDOWN((A1156-120*ROUNDDOWN(A1156/120,0))/2,0)*65+65,0)</f>
        <v>0</v>
      </c>
      <c r="C1157">
        <f>SUM($B$2:B1157)/A1157</f>
        <v>61.904761904761905</v>
      </c>
    </row>
    <row r="1158" spans="1:3" x14ac:dyDescent="0.2">
      <c r="A1158">
        <v>1156</v>
      </c>
      <c r="B1158">
        <f t="shared" si="19"/>
        <v>0</v>
      </c>
      <c r="C1158">
        <f>SUM($B$2:B1158)/A1158</f>
        <v>61.851211072664363</v>
      </c>
    </row>
    <row r="1159" spans="1:3" x14ac:dyDescent="0.2">
      <c r="A1159">
        <v>1157</v>
      </c>
      <c r="B1159">
        <f t="shared" si="19"/>
        <v>0</v>
      </c>
      <c r="C1159">
        <f>SUM($B$2:B1159)/A1159</f>
        <v>61.797752808988761</v>
      </c>
    </row>
    <row r="1160" spans="1:3" x14ac:dyDescent="0.2">
      <c r="A1160">
        <v>1158</v>
      </c>
      <c r="B1160">
        <f t="shared" si="19"/>
        <v>0</v>
      </c>
      <c r="C1160">
        <f>SUM($B$2:B1160)/A1160</f>
        <v>61.744386873920554</v>
      </c>
    </row>
    <row r="1161" spans="1:3" x14ac:dyDescent="0.2">
      <c r="A1161">
        <v>1159</v>
      </c>
      <c r="B1161">
        <f t="shared" si="19"/>
        <v>0</v>
      </c>
      <c r="C1161">
        <f>SUM($B$2:B1161)/A1161</f>
        <v>61.69111302847282</v>
      </c>
    </row>
    <row r="1162" spans="1:3" x14ac:dyDescent="0.2">
      <c r="A1162">
        <v>1160</v>
      </c>
      <c r="B1162">
        <f t="shared" si="19"/>
        <v>0</v>
      </c>
      <c r="C1162">
        <f>SUM($B$2:B1162)/A1162</f>
        <v>61.637931034482762</v>
      </c>
    </row>
    <row r="1163" spans="1:3" x14ac:dyDescent="0.2">
      <c r="A1163">
        <v>1161</v>
      </c>
      <c r="B1163">
        <f t="shared" si="19"/>
        <v>0</v>
      </c>
      <c r="C1163">
        <f>SUM($B$2:B1163)/A1163</f>
        <v>61.584840654608094</v>
      </c>
    </row>
    <row r="1164" spans="1:3" x14ac:dyDescent="0.2">
      <c r="A1164">
        <v>1162</v>
      </c>
      <c r="B1164">
        <f t="shared" si="19"/>
        <v>0</v>
      </c>
      <c r="C1164">
        <f>SUM($B$2:B1164)/A1164</f>
        <v>61.531841652323578</v>
      </c>
    </row>
    <row r="1165" spans="1:3" x14ac:dyDescent="0.2">
      <c r="A1165">
        <v>1163</v>
      </c>
      <c r="B1165">
        <f t="shared" si="19"/>
        <v>0</v>
      </c>
      <c r="C1165">
        <f>SUM($B$2:B1165)/A1165</f>
        <v>61.478933791917456</v>
      </c>
    </row>
    <row r="1166" spans="1:3" x14ac:dyDescent="0.2">
      <c r="A1166">
        <v>1164</v>
      </c>
      <c r="B1166">
        <f t="shared" si="19"/>
        <v>0</v>
      </c>
      <c r="C1166">
        <f>SUM($B$2:B1166)/A1166</f>
        <v>61.426116838487971</v>
      </c>
    </row>
    <row r="1167" spans="1:3" x14ac:dyDescent="0.2">
      <c r="A1167">
        <v>1165</v>
      </c>
      <c r="B1167">
        <f t="shared" si="19"/>
        <v>0</v>
      </c>
      <c r="C1167">
        <f>SUM($B$2:B1167)/A1167</f>
        <v>61.373390557939913</v>
      </c>
    </row>
    <row r="1168" spans="1:3" x14ac:dyDescent="0.2">
      <c r="A1168">
        <v>1166</v>
      </c>
      <c r="B1168">
        <f t="shared" si="19"/>
        <v>0</v>
      </c>
      <c r="C1168">
        <f>SUM($B$2:B1168)/A1168</f>
        <v>61.320754716981135</v>
      </c>
    </row>
    <row r="1169" spans="1:3" x14ac:dyDescent="0.2">
      <c r="A1169">
        <v>1167</v>
      </c>
      <c r="B1169">
        <f t="shared" si="19"/>
        <v>0</v>
      </c>
      <c r="C1169">
        <f>SUM($B$2:B1169)/A1169</f>
        <v>61.26820908311911</v>
      </c>
    </row>
    <row r="1170" spans="1:3" x14ac:dyDescent="0.2">
      <c r="A1170">
        <v>1168</v>
      </c>
      <c r="B1170">
        <f t="shared" si="19"/>
        <v>0</v>
      </c>
      <c r="C1170">
        <f>SUM($B$2:B1170)/A1170</f>
        <v>61.215753424657535</v>
      </c>
    </row>
    <row r="1171" spans="1:3" x14ac:dyDescent="0.2">
      <c r="A1171">
        <v>1169</v>
      </c>
      <c r="B1171">
        <f t="shared" si="19"/>
        <v>0</v>
      </c>
      <c r="C1171">
        <f>SUM($B$2:B1171)/A1171</f>
        <v>61.1633875106929</v>
      </c>
    </row>
    <row r="1172" spans="1:3" x14ac:dyDescent="0.2">
      <c r="A1172">
        <v>1170</v>
      </c>
      <c r="B1172">
        <f t="shared" si="19"/>
        <v>0</v>
      </c>
      <c r="C1172">
        <f>SUM($B$2:B1172)/A1172</f>
        <v>61.111111111111114</v>
      </c>
    </row>
    <row r="1173" spans="1:3" x14ac:dyDescent="0.2">
      <c r="A1173">
        <v>1171</v>
      </c>
      <c r="B1173">
        <f t="shared" si="19"/>
        <v>0</v>
      </c>
      <c r="C1173">
        <f>SUM($B$2:B1173)/A1173</f>
        <v>61.058923996584113</v>
      </c>
    </row>
    <row r="1174" spans="1:3" x14ac:dyDescent="0.2">
      <c r="A1174">
        <v>1172</v>
      </c>
      <c r="B1174">
        <f t="shared" si="19"/>
        <v>0</v>
      </c>
      <c r="C1174">
        <f>SUM($B$2:B1174)/A1174</f>
        <v>61.00682593856655</v>
      </c>
    </row>
    <row r="1175" spans="1:3" x14ac:dyDescent="0.2">
      <c r="A1175">
        <v>1173</v>
      </c>
      <c r="B1175">
        <f t="shared" si="19"/>
        <v>0</v>
      </c>
      <c r="C1175">
        <f>SUM($B$2:B1175)/A1175</f>
        <v>60.954816709292416</v>
      </c>
    </row>
    <row r="1176" spans="1:3" x14ac:dyDescent="0.2">
      <c r="A1176">
        <v>1174</v>
      </c>
      <c r="B1176">
        <f t="shared" si="19"/>
        <v>0</v>
      </c>
      <c r="C1176">
        <f>SUM($B$2:B1176)/A1176</f>
        <v>60.902896081771722</v>
      </c>
    </row>
    <row r="1177" spans="1:3" x14ac:dyDescent="0.2">
      <c r="A1177">
        <v>1175</v>
      </c>
      <c r="B1177">
        <f t="shared" si="19"/>
        <v>0</v>
      </c>
      <c r="C1177">
        <f>SUM($B$2:B1177)/A1177</f>
        <v>60.851063829787236</v>
      </c>
    </row>
    <row r="1178" spans="1:3" x14ac:dyDescent="0.2">
      <c r="A1178">
        <v>1176</v>
      </c>
      <c r="B1178">
        <f t="shared" si="19"/>
        <v>0</v>
      </c>
      <c r="C1178">
        <f>SUM($B$2:B1178)/A1178</f>
        <v>60.799319727891159</v>
      </c>
    </row>
    <row r="1179" spans="1:3" x14ac:dyDescent="0.2">
      <c r="A1179">
        <v>1177</v>
      </c>
      <c r="B1179">
        <f t="shared" si="19"/>
        <v>0</v>
      </c>
      <c r="C1179">
        <f>SUM($B$2:B1179)/A1179</f>
        <v>60.747663551401871</v>
      </c>
    </row>
    <row r="1180" spans="1:3" x14ac:dyDescent="0.2">
      <c r="A1180">
        <v>1178</v>
      </c>
      <c r="B1180">
        <f t="shared" si="19"/>
        <v>0</v>
      </c>
      <c r="C1180">
        <f>SUM($B$2:B1180)/A1180</f>
        <v>60.696095076400681</v>
      </c>
    </row>
    <row r="1181" spans="1:3" x14ac:dyDescent="0.2">
      <c r="A1181">
        <v>1179</v>
      </c>
      <c r="B1181">
        <f t="shared" si="19"/>
        <v>0</v>
      </c>
      <c r="C1181">
        <f>SUM($B$2:B1181)/A1181</f>
        <v>60.644614079728584</v>
      </c>
    </row>
    <row r="1182" spans="1:3" x14ac:dyDescent="0.2">
      <c r="A1182">
        <v>1180</v>
      </c>
      <c r="B1182">
        <f t="shared" si="19"/>
        <v>0</v>
      </c>
      <c r="C1182">
        <f>SUM($B$2:B1182)/A1182</f>
        <v>60.593220338983052</v>
      </c>
    </row>
    <row r="1183" spans="1:3" x14ac:dyDescent="0.2">
      <c r="A1183">
        <v>1181</v>
      </c>
      <c r="B1183">
        <f t="shared" si="19"/>
        <v>0</v>
      </c>
      <c r="C1183">
        <f>SUM($B$2:B1183)/A1183</f>
        <v>60.54191363251482</v>
      </c>
    </row>
    <row r="1184" spans="1:3" x14ac:dyDescent="0.2">
      <c r="A1184">
        <v>1182</v>
      </c>
      <c r="B1184">
        <f t="shared" si="19"/>
        <v>0</v>
      </c>
      <c r="C1184">
        <f>SUM($B$2:B1184)/A1184</f>
        <v>60.490693739424707</v>
      </c>
    </row>
    <row r="1185" spans="1:3" x14ac:dyDescent="0.2">
      <c r="A1185">
        <v>1183</v>
      </c>
      <c r="B1185">
        <f t="shared" si="19"/>
        <v>0</v>
      </c>
      <c r="C1185">
        <f>SUM($B$2:B1185)/A1185</f>
        <v>60.439560439560438</v>
      </c>
    </row>
    <row r="1186" spans="1:3" x14ac:dyDescent="0.2">
      <c r="A1186">
        <v>1184</v>
      </c>
      <c r="B1186">
        <f t="shared" si="19"/>
        <v>0</v>
      </c>
      <c r="C1186">
        <f>SUM($B$2:B1186)/A1186</f>
        <v>60.388513513513516</v>
      </c>
    </row>
    <row r="1187" spans="1:3" x14ac:dyDescent="0.2">
      <c r="A1187">
        <v>1185</v>
      </c>
      <c r="B1187">
        <f t="shared" si="19"/>
        <v>0</v>
      </c>
      <c r="C1187">
        <f>SUM($B$2:B1187)/A1187</f>
        <v>60.337552742616033</v>
      </c>
    </row>
    <row r="1188" spans="1:3" x14ac:dyDescent="0.2">
      <c r="A1188">
        <v>1186</v>
      </c>
      <c r="B1188">
        <f t="shared" si="19"/>
        <v>0</v>
      </c>
      <c r="C1188">
        <f>SUM($B$2:B1188)/A1188</f>
        <v>60.286677908937605</v>
      </c>
    </row>
    <row r="1189" spans="1:3" x14ac:dyDescent="0.2">
      <c r="A1189">
        <v>1187</v>
      </c>
      <c r="B1189">
        <f t="shared" si="19"/>
        <v>0</v>
      </c>
      <c r="C1189">
        <f>SUM($B$2:B1189)/A1189</f>
        <v>60.235888795282222</v>
      </c>
    </row>
    <row r="1190" spans="1:3" x14ac:dyDescent="0.2">
      <c r="A1190">
        <v>1188</v>
      </c>
      <c r="B1190">
        <f t="shared" si="19"/>
        <v>0</v>
      </c>
      <c r="C1190">
        <f>SUM($B$2:B1190)/A1190</f>
        <v>60.185185185185183</v>
      </c>
    </row>
    <row r="1191" spans="1:3" x14ac:dyDescent="0.2">
      <c r="A1191">
        <v>1189</v>
      </c>
      <c r="B1191">
        <f t="shared" si="19"/>
        <v>0</v>
      </c>
      <c r="C1191">
        <f>SUM($B$2:B1191)/A1191</f>
        <v>60.134566862910006</v>
      </c>
    </row>
    <row r="1192" spans="1:3" x14ac:dyDescent="0.2">
      <c r="A1192">
        <v>1190</v>
      </c>
      <c r="B1192">
        <f t="shared" si="19"/>
        <v>0</v>
      </c>
      <c r="C1192">
        <f>SUM($B$2:B1192)/A1192</f>
        <v>60.084033613445378</v>
      </c>
    </row>
    <row r="1193" spans="1:3" x14ac:dyDescent="0.2">
      <c r="A1193">
        <v>1191</v>
      </c>
      <c r="B1193">
        <f t="shared" si="19"/>
        <v>0</v>
      </c>
      <c r="C1193">
        <f>SUM($B$2:B1193)/A1193</f>
        <v>60.033585222502097</v>
      </c>
    </row>
    <row r="1194" spans="1:3" x14ac:dyDescent="0.2">
      <c r="A1194">
        <v>1192</v>
      </c>
      <c r="B1194">
        <f t="shared" si="19"/>
        <v>0</v>
      </c>
      <c r="C1194">
        <f>SUM($B$2:B1194)/A1194</f>
        <v>59.983221476510067</v>
      </c>
    </row>
    <row r="1195" spans="1:3" x14ac:dyDescent="0.2">
      <c r="A1195">
        <v>1193</v>
      </c>
      <c r="B1195">
        <f t="shared" si="19"/>
        <v>0</v>
      </c>
      <c r="C1195">
        <f>SUM($B$2:B1195)/A1195</f>
        <v>59.932942162615255</v>
      </c>
    </row>
    <row r="1196" spans="1:3" x14ac:dyDescent="0.2">
      <c r="A1196">
        <v>1194</v>
      </c>
      <c r="B1196">
        <f t="shared" si="19"/>
        <v>0</v>
      </c>
      <c r="C1196">
        <f>SUM($B$2:B1196)/A1196</f>
        <v>59.882747068676714</v>
      </c>
    </row>
    <row r="1197" spans="1:3" x14ac:dyDescent="0.2">
      <c r="A1197">
        <v>1195</v>
      </c>
      <c r="B1197">
        <f t="shared" si="19"/>
        <v>0</v>
      </c>
      <c r="C1197">
        <f>SUM($B$2:B1197)/A1197</f>
        <v>59.8326359832636</v>
      </c>
    </row>
    <row r="1198" spans="1:3" x14ac:dyDescent="0.2">
      <c r="A1198">
        <v>1196</v>
      </c>
      <c r="B1198">
        <f t="shared" si="19"/>
        <v>0</v>
      </c>
      <c r="C1198">
        <f>SUM($B$2:B1198)/A1198</f>
        <v>59.782608695652172</v>
      </c>
    </row>
    <row r="1199" spans="1:3" x14ac:dyDescent="0.2">
      <c r="A1199">
        <v>1197</v>
      </c>
      <c r="B1199">
        <f t="shared" si="19"/>
        <v>0</v>
      </c>
      <c r="C1199">
        <f>SUM($B$2:B1199)/A1199</f>
        <v>59.732664995822887</v>
      </c>
    </row>
    <row r="1200" spans="1:3" x14ac:dyDescent="0.2">
      <c r="A1200">
        <v>1198</v>
      </c>
      <c r="B1200">
        <f t="shared" si="19"/>
        <v>0</v>
      </c>
      <c r="C1200">
        <f>SUM($B$2:B1200)/A1200</f>
        <v>59.682804674457429</v>
      </c>
    </row>
    <row r="1201" spans="1:3" x14ac:dyDescent="0.2">
      <c r="A1201">
        <v>1199</v>
      </c>
      <c r="B1201">
        <f t="shared" si="19"/>
        <v>0</v>
      </c>
      <c r="C1201">
        <f>SUM($B$2:B1201)/A1201</f>
        <v>59.633027522935777</v>
      </c>
    </row>
    <row r="1202" spans="1:3" x14ac:dyDescent="0.2">
      <c r="A1202">
        <v>1200</v>
      </c>
      <c r="B1202">
        <f t="shared" si="19"/>
        <v>0</v>
      </c>
      <c r="C1202">
        <f>SUM($B$2:B1202)/A1202</f>
        <v>59.583333333333336</v>
      </c>
    </row>
    <row r="1203" spans="1:3" x14ac:dyDescent="0.2">
      <c r="A1203">
        <v>1201</v>
      </c>
      <c r="B1203">
        <f t="shared" si="19"/>
        <v>65</v>
      </c>
      <c r="C1203">
        <f>SUM($B$2:B1203)/A1203</f>
        <v>59.587843463780182</v>
      </c>
    </row>
    <row r="1204" spans="1:3" x14ac:dyDescent="0.2">
      <c r="A1204">
        <v>1202</v>
      </c>
      <c r="B1204">
        <f t="shared" si="19"/>
        <v>65</v>
      </c>
      <c r="C1204">
        <f>SUM($B$2:B1204)/A1204</f>
        <v>59.592346089850253</v>
      </c>
    </row>
    <row r="1205" spans="1:3" x14ac:dyDescent="0.2">
      <c r="A1205">
        <v>1203</v>
      </c>
      <c r="B1205">
        <f t="shared" si="19"/>
        <v>130</v>
      </c>
      <c r="C1205">
        <f>SUM($B$2:B1205)/A1205</f>
        <v>59.650872817955111</v>
      </c>
    </row>
    <row r="1206" spans="1:3" x14ac:dyDescent="0.2">
      <c r="A1206">
        <v>1204</v>
      </c>
      <c r="B1206">
        <f t="shared" si="19"/>
        <v>130</v>
      </c>
      <c r="C1206">
        <f>SUM($B$2:B1206)/A1206</f>
        <v>59.709302325581397</v>
      </c>
    </row>
    <row r="1207" spans="1:3" x14ac:dyDescent="0.2">
      <c r="A1207">
        <v>1205</v>
      </c>
      <c r="B1207">
        <f t="shared" si="19"/>
        <v>195</v>
      </c>
      <c r="C1207">
        <f>SUM($B$2:B1207)/A1207</f>
        <v>59.821576763485474</v>
      </c>
    </row>
    <row r="1208" spans="1:3" x14ac:dyDescent="0.2">
      <c r="A1208">
        <v>1206</v>
      </c>
      <c r="B1208">
        <f t="shared" si="19"/>
        <v>195</v>
      </c>
      <c r="C1208">
        <f>SUM($B$2:B1208)/A1208</f>
        <v>59.933665008291875</v>
      </c>
    </row>
    <row r="1209" spans="1:3" x14ac:dyDescent="0.2">
      <c r="A1209">
        <v>1207</v>
      </c>
      <c r="B1209">
        <f t="shared" si="19"/>
        <v>260</v>
      </c>
      <c r="C1209">
        <f>SUM($B$2:B1209)/A1209</f>
        <v>60.099420049710027</v>
      </c>
    </row>
    <row r="1210" spans="1:3" x14ac:dyDescent="0.2">
      <c r="A1210">
        <v>1208</v>
      </c>
      <c r="B1210">
        <f t="shared" si="19"/>
        <v>260</v>
      </c>
      <c r="C1210">
        <f>SUM($B$2:B1210)/A1210</f>
        <v>60.264900662251655</v>
      </c>
    </row>
    <row r="1211" spans="1:3" x14ac:dyDescent="0.2">
      <c r="A1211">
        <v>1209</v>
      </c>
      <c r="B1211">
        <f t="shared" si="19"/>
        <v>325</v>
      </c>
      <c r="C1211">
        <f>SUM($B$2:B1211)/A1211</f>
        <v>60.483870967741936</v>
      </c>
    </row>
    <row r="1212" spans="1:3" x14ac:dyDescent="0.2">
      <c r="A1212">
        <v>1210</v>
      </c>
      <c r="B1212">
        <f t="shared" si="19"/>
        <v>325</v>
      </c>
      <c r="C1212">
        <f>SUM($B$2:B1212)/A1212</f>
        <v>60.702479338842977</v>
      </c>
    </row>
    <row r="1213" spans="1:3" x14ac:dyDescent="0.2">
      <c r="A1213">
        <v>1211</v>
      </c>
      <c r="B1213">
        <f t="shared" si="19"/>
        <v>390</v>
      </c>
      <c r="C1213">
        <f>SUM($B$2:B1213)/A1213</f>
        <v>60.974401321222132</v>
      </c>
    </row>
    <row r="1214" spans="1:3" x14ac:dyDescent="0.2">
      <c r="A1214">
        <v>1212</v>
      </c>
      <c r="B1214">
        <f t="shared" si="19"/>
        <v>390</v>
      </c>
      <c r="C1214">
        <f>SUM($B$2:B1214)/A1214</f>
        <v>61.245874587458744</v>
      </c>
    </row>
    <row r="1215" spans="1:3" x14ac:dyDescent="0.2">
      <c r="A1215">
        <v>1213</v>
      </c>
      <c r="B1215">
        <f t="shared" si="19"/>
        <v>455</v>
      </c>
      <c r="C1215">
        <f>SUM($B$2:B1215)/A1215</f>
        <v>61.570486397361911</v>
      </c>
    </row>
    <row r="1216" spans="1:3" x14ac:dyDescent="0.2">
      <c r="A1216">
        <v>1214</v>
      </c>
      <c r="B1216">
        <f t="shared" si="19"/>
        <v>455</v>
      </c>
      <c r="C1216">
        <f>SUM($B$2:B1216)/A1216</f>
        <v>61.894563426688634</v>
      </c>
    </row>
    <row r="1217" spans="1:3" x14ac:dyDescent="0.2">
      <c r="A1217">
        <v>1215</v>
      </c>
      <c r="B1217">
        <f t="shared" si="19"/>
        <v>520</v>
      </c>
      <c r="C1217">
        <f>SUM($B$2:B1217)/A1217</f>
        <v>62.271604938271608</v>
      </c>
    </row>
    <row r="1218" spans="1:3" x14ac:dyDescent="0.2">
      <c r="A1218">
        <v>1216</v>
      </c>
      <c r="B1218">
        <f t="shared" si="19"/>
        <v>520</v>
      </c>
      <c r="C1218">
        <f>SUM($B$2:B1218)/A1218</f>
        <v>62.648026315789473</v>
      </c>
    </row>
    <row r="1219" spans="1:3" x14ac:dyDescent="0.2">
      <c r="A1219">
        <v>1217</v>
      </c>
      <c r="B1219">
        <f t="shared" si="19"/>
        <v>585</v>
      </c>
      <c r="C1219">
        <f>SUM($B$2:B1219)/A1219</f>
        <v>63.077239112571895</v>
      </c>
    </row>
    <row r="1220" spans="1:3" x14ac:dyDescent="0.2">
      <c r="A1220">
        <v>1218</v>
      </c>
      <c r="B1220">
        <f t="shared" si="19"/>
        <v>585</v>
      </c>
      <c r="C1220">
        <f>SUM($B$2:B1220)/A1220</f>
        <v>63.505747126436781</v>
      </c>
    </row>
    <row r="1221" spans="1:3" x14ac:dyDescent="0.2">
      <c r="A1221">
        <v>1219</v>
      </c>
      <c r="B1221">
        <f t="shared" ref="B1221:B1284" si="20">IF((A1220-IF(A1220+1/120&gt;1,ROUNDDOWN(A1220/120,0)*120,0))/20&lt;1,ROUNDDOWN((A1220-120*ROUNDDOWN(A1220/120,0))/2,0)*65+65,0)</f>
        <v>650</v>
      </c>
      <c r="C1221">
        <f>SUM($B$2:B1221)/A1221</f>
        <v>63.986874487284659</v>
      </c>
    </row>
    <row r="1222" spans="1:3" x14ac:dyDescent="0.2">
      <c r="A1222">
        <v>1220</v>
      </c>
      <c r="B1222">
        <f t="shared" si="20"/>
        <v>650</v>
      </c>
      <c r="C1222">
        <f>SUM($B$2:B1222)/A1222</f>
        <v>64.467213114754102</v>
      </c>
    </row>
    <row r="1223" spans="1:3" x14ac:dyDescent="0.2">
      <c r="A1223">
        <v>1221</v>
      </c>
      <c r="B1223">
        <f t="shared" si="20"/>
        <v>0</v>
      </c>
      <c r="C1223">
        <f>SUM($B$2:B1223)/A1223</f>
        <v>64.414414414414409</v>
      </c>
    </row>
    <row r="1224" spans="1:3" x14ac:dyDescent="0.2">
      <c r="A1224">
        <v>1222</v>
      </c>
      <c r="B1224">
        <f t="shared" si="20"/>
        <v>0</v>
      </c>
      <c r="C1224">
        <f>SUM($B$2:B1224)/A1224</f>
        <v>64.361702127659569</v>
      </c>
    </row>
    <row r="1225" spans="1:3" x14ac:dyDescent="0.2">
      <c r="A1225">
        <v>1223</v>
      </c>
      <c r="B1225">
        <f t="shared" si="20"/>
        <v>0</v>
      </c>
      <c r="C1225">
        <f>SUM($B$2:B1225)/A1225</f>
        <v>64.309076042518399</v>
      </c>
    </row>
    <row r="1226" spans="1:3" x14ac:dyDescent="0.2">
      <c r="A1226">
        <v>1224</v>
      </c>
      <c r="B1226">
        <f t="shared" si="20"/>
        <v>0</v>
      </c>
      <c r="C1226">
        <f>SUM($B$2:B1226)/A1226</f>
        <v>64.256535947712422</v>
      </c>
    </row>
    <row r="1227" spans="1:3" x14ac:dyDescent="0.2">
      <c r="A1227">
        <v>1225</v>
      </c>
      <c r="B1227">
        <f t="shared" si="20"/>
        <v>0</v>
      </c>
      <c r="C1227">
        <f>SUM($B$2:B1227)/A1227</f>
        <v>64.204081632653057</v>
      </c>
    </row>
    <row r="1228" spans="1:3" x14ac:dyDescent="0.2">
      <c r="A1228">
        <v>1226</v>
      </c>
      <c r="B1228">
        <f t="shared" si="20"/>
        <v>0</v>
      </c>
      <c r="C1228">
        <f>SUM($B$2:B1228)/A1228</f>
        <v>64.151712887438819</v>
      </c>
    </row>
    <row r="1229" spans="1:3" x14ac:dyDescent="0.2">
      <c r="A1229">
        <v>1227</v>
      </c>
      <c r="B1229">
        <f t="shared" si="20"/>
        <v>0</v>
      </c>
      <c r="C1229">
        <f>SUM($B$2:B1229)/A1229</f>
        <v>64.099429502852487</v>
      </c>
    </row>
    <row r="1230" spans="1:3" x14ac:dyDescent="0.2">
      <c r="A1230">
        <v>1228</v>
      </c>
      <c r="B1230">
        <f t="shared" si="20"/>
        <v>0</v>
      </c>
      <c r="C1230">
        <f>SUM($B$2:B1230)/A1230</f>
        <v>64.04723127035831</v>
      </c>
    </row>
    <row r="1231" spans="1:3" x14ac:dyDescent="0.2">
      <c r="A1231">
        <v>1229</v>
      </c>
      <c r="B1231">
        <f t="shared" si="20"/>
        <v>0</v>
      </c>
      <c r="C1231">
        <f>SUM($B$2:B1231)/A1231</f>
        <v>63.995117982099266</v>
      </c>
    </row>
    <row r="1232" spans="1:3" x14ac:dyDescent="0.2">
      <c r="A1232">
        <v>1230</v>
      </c>
      <c r="B1232">
        <f t="shared" si="20"/>
        <v>0</v>
      </c>
      <c r="C1232">
        <f>SUM($B$2:B1232)/A1232</f>
        <v>63.943089430894311</v>
      </c>
    </row>
    <row r="1233" spans="1:3" x14ac:dyDescent="0.2">
      <c r="A1233">
        <v>1231</v>
      </c>
      <c r="B1233">
        <f t="shared" si="20"/>
        <v>0</v>
      </c>
      <c r="C1233">
        <f>SUM($B$2:B1233)/A1233</f>
        <v>63.89114541023558</v>
      </c>
    </row>
    <row r="1234" spans="1:3" x14ac:dyDescent="0.2">
      <c r="A1234">
        <v>1232</v>
      </c>
      <c r="B1234">
        <f t="shared" si="20"/>
        <v>0</v>
      </c>
      <c r="C1234">
        <f>SUM($B$2:B1234)/A1234</f>
        <v>63.839285714285715</v>
      </c>
    </row>
    <row r="1235" spans="1:3" x14ac:dyDescent="0.2">
      <c r="A1235">
        <v>1233</v>
      </c>
      <c r="B1235">
        <f t="shared" si="20"/>
        <v>0</v>
      </c>
      <c r="C1235">
        <f>SUM($B$2:B1235)/A1235</f>
        <v>63.787510137875103</v>
      </c>
    </row>
    <row r="1236" spans="1:3" x14ac:dyDescent="0.2">
      <c r="A1236">
        <v>1234</v>
      </c>
      <c r="B1236">
        <f t="shared" si="20"/>
        <v>0</v>
      </c>
      <c r="C1236">
        <f>SUM($B$2:B1236)/A1236</f>
        <v>63.73581847649919</v>
      </c>
    </row>
    <row r="1237" spans="1:3" x14ac:dyDescent="0.2">
      <c r="A1237">
        <v>1235</v>
      </c>
      <c r="B1237">
        <f t="shared" si="20"/>
        <v>0</v>
      </c>
      <c r="C1237">
        <f>SUM($B$2:B1237)/A1237</f>
        <v>63.684210526315788</v>
      </c>
    </row>
    <row r="1238" spans="1:3" x14ac:dyDescent="0.2">
      <c r="A1238">
        <v>1236</v>
      </c>
      <c r="B1238">
        <f t="shared" si="20"/>
        <v>0</v>
      </c>
      <c r="C1238">
        <f>SUM($B$2:B1238)/A1238</f>
        <v>63.632686084142392</v>
      </c>
    </row>
    <row r="1239" spans="1:3" x14ac:dyDescent="0.2">
      <c r="A1239">
        <v>1237</v>
      </c>
      <c r="B1239">
        <f t="shared" si="20"/>
        <v>0</v>
      </c>
      <c r="C1239">
        <f>SUM($B$2:B1239)/A1239</f>
        <v>63.58124494745352</v>
      </c>
    </row>
    <row r="1240" spans="1:3" x14ac:dyDescent="0.2">
      <c r="A1240">
        <v>1238</v>
      </c>
      <c r="B1240">
        <f t="shared" si="20"/>
        <v>0</v>
      </c>
      <c r="C1240">
        <f>SUM($B$2:B1240)/A1240</f>
        <v>63.529886914378032</v>
      </c>
    </row>
    <row r="1241" spans="1:3" x14ac:dyDescent="0.2">
      <c r="A1241">
        <v>1239</v>
      </c>
      <c r="B1241">
        <f t="shared" si="20"/>
        <v>0</v>
      </c>
      <c r="C1241">
        <f>SUM($B$2:B1241)/A1241</f>
        <v>63.478611783696529</v>
      </c>
    </row>
    <row r="1242" spans="1:3" x14ac:dyDescent="0.2">
      <c r="A1242">
        <v>1240</v>
      </c>
      <c r="B1242">
        <f t="shared" si="20"/>
        <v>0</v>
      </c>
      <c r="C1242">
        <f>SUM($B$2:B1242)/A1242</f>
        <v>63.427419354838712</v>
      </c>
    </row>
    <row r="1243" spans="1:3" x14ac:dyDescent="0.2">
      <c r="A1243">
        <v>1241</v>
      </c>
      <c r="B1243">
        <f t="shared" si="20"/>
        <v>0</v>
      </c>
      <c r="C1243">
        <f>SUM($B$2:B1243)/A1243</f>
        <v>63.376309427880742</v>
      </c>
    </row>
    <row r="1244" spans="1:3" x14ac:dyDescent="0.2">
      <c r="A1244">
        <v>1242</v>
      </c>
      <c r="B1244">
        <f t="shared" si="20"/>
        <v>0</v>
      </c>
      <c r="C1244">
        <f>SUM($B$2:B1244)/A1244</f>
        <v>63.325281803542673</v>
      </c>
    </row>
    <row r="1245" spans="1:3" x14ac:dyDescent="0.2">
      <c r="A1245">
        <v>1243</v>
      </c>
      <c r="B1245">
        <f t="shared" si="20"/>
        <v>0</v>
      </c>
      <c r="C1245">
        <f>SUM($B$2:B1245)/A1245</f>
        <v>63.274336283185839</v>
      </c>
    </row>
    <row r="1246" spans="1:3" x14ac:dyDescent="0.2">
      <c r="A1246">
        <v>1244</v>
      </c>
      <c r="B1246">
        <f t="shared" si="20"/>
        <v>0</v>
      </c>
      <c r="C1246">
        <f>SUM($B$2:B1246)/A1246</f>
        <v>63.223472668810288</v>
      </c>
    </row>
    <row r="1247" spans="1:3" x14ac:dyDescent="0.2">
      <c r="A1247">
        <v>1245</v>
      </c>
      <c r="B1247">
        <f t="shared" si="20"/>
        <v>0</v>
      </c>
      <c r="C1247">
        <f>SUM($B$2:B1247)/A1247</f>
        <v>63.172690763052209</v>
      </c>
    </row>
    <row r="1248" spans="1:3" x14ac:dyDescent="0.2">
      <c r="A1248">
        <v>1246</v>
      </c>
      <c r="B1248">
        <f t="shared" si="20"/>
        <v>0</v>
      </c>
      <c r="C1248">
        <f>SUM($B$2:B1248)/A1248</f>
        <v>63.121990369181383</v>
      </c>
    </row>
    <row r="1249" spans="1:3" x14ac:dyDescent="0.2">
      <c r="A1249">
        <v>1247</v>
      </c>
      <c r="B1249">
        <f t="shared" si="20"/>
        <v>0</v>
      </c>
      <c r="C1249">
        <f>SUM($B$2:B1249)/A1249</f>
        <v>63.071371291098636</v>
      </c>
    </row>
    <row r="1250" spans="1:3" x14ac:dyDescent="0.2">
      <c r="A1250">
        <v>1248</v>
      </c>
      <c r="B1250">
        <f t="shared" si="20"/>
        <v>0</v>
      </c>
      <c r="C1250">
        <f>SUM($B$2:B1250)/A1250</f>
        <v>63.020833333333336</v>
      </c>
    </row>
    <row r="1251" spans="1:3" x14ac:dyDescent="0.2">
      <c r="A1251">
        <v>1249</v>
      </c>
      <c r="B1251">
        <f t="shared" si="20"/>
        <v>0</v>
      </c>
      <c r="C1251">
        <f>SUM($B$2:B1251)/A1251</f>
        <v>62.97037630104083</v>
      </c>
    </row>
    <row r="1252" spans="1:3" x14ac:dyDescent="0.2">
      <c r="A1252">
        <v>1250</v>
      </c>
      <c r="B1252">
        <f t="shared" si="20"/>
        <v>0</v>
      </c>
      <c r="C1252">
        <f>SUM($B$2:B1252)/A1252</f>
        <v>62.92</v>
      </c>
    </row>
    <row r="1253" spans="1:3" x14ac:dyDescent="0.2">
      <c r="A1253">
        <v>1251</v>
      </c>
      <c r="B1253">
        <f t="shared" si="20"/>
        <v>0</v>
      </c>
      <c r="C1253">
        <f>SUM($B$2:B1253)/A1253</f>
        <v>62.869704236610708</v>
      </c>
    </row>
    <row r="1254" spans="1:3" x14ac:dyDescent="0.2">
      <c r="A1254">
        <v>1252</v>
      </c>
      <c r="B1254">
        <f t="shared" si="20"/>
        <v>0</v>
      </c>
      <c r="C1254">
        <f>SUM($B$2:B1254)/A1254</f>
        <v>62.819488817891376</v>
      </c>
    </row>
    <row r="1255" spans="1:3" x14ac:dyDescent="0.2">
      <c r="A1255">
        <v>1253</v>
      </c>
      <c r="B1255">
        <f t="shared" si="20"/>
        <v>0</v>
      </c>
      <c r="C1255">
        <f>SUM($B$2:B1255)/A1255</f>
        <v>62.769353551476456</v>
      </c>
    </row>
    <row r="1256" spans="1:3" x14ac:dyDescent="0.2">
      <c r="A1256">
        <v>1254</v>
      </c>
      <c r="B1256">
        <f t="shared" si="20"/>
        <v>0</v>
      </c>
      <c r="C1256">
        <f>SUM($B$2:B1256)/A1256</f>
        <v>62.719298245614034</v>
      </c>
    </row>
    <row r="1257" spans="1:3" x14ac:dyDescent="0.2">
      <c r="A1257">
        <v>1255</v>
      </c>
      <c r="B1257">
        <f t="shared" si="20"/>
        <v>0</v>
      </c>
      <c r="C1257">
        <f>SUM($B$2:B1257)/A1257</f>
        <v>62.669322709163346</v>
      </c>
    </row>
    <row r="1258" spans="1:3" x14ac:dyDescent="0.2">
      <c r="A1258">
        <v>1256</v>
      </c>
      <c r="B1258">
        <f t="shared" si="20"/>
        <v>0</v>
      </c>
      <c r="C1258">
        <f>SUM($B$2:B1258)/A1258</f>
        <v>62.619426751592357</v>
      </c>
    </row>
    <row r="1259" spans="1:3" x14ac:dyDescent="0.2">
      <c r="A1259">
        <v>1257</v>
      </c>
      <c r="B1259">
        <f t="shared" si="20"/>
        <v>0</v>
      </c>
      <c r="C1259">
        <f>SUM($B$2:B1259)/A1259</f>
        <v>62.569610182975339</v>
      </c>
    </row>
    <row r="1260" spans="1:3" x14ac:dyDescent="0.2">
      <c r="A1260">
        <v>1258</v>
      </c>
      <c r="B1260">
        <f t="shared" si="20"/>
        <v>0</v>
      </c>
      <c r="C1260">
        <f>SUM($B$2:B1260)/A1260</f>
        <v>62.51987281399046</v>
      </c>
    </row>
    <row r="1261" spans="1:3" x14ac:dyDescent="0.2">
      <c r="A1261">
        <v>1259</v>
      </c>
      <c r="B1261">
        <f t="shared" si="20"/>
        <v>0</v>
      </c>
      <c r="C1261">
        <f>SUM($B$2:B1261)/A1261</f>
        <v>62.470214455917393</v>
      </c>
    </row>
    <row r="1262" spans="1:3" x14ac:dyDescent="0.2">
      <c r="A1262">
        <v>1260</v>
      </c>
      <c r="B1262">
        <f t="shared" si="20"/>
        <v>0</v>
      </c>
      <c r="C1262">
        <f>SUM($B$2:B1262)/A1262</f>
        <v>62.420634920634917</v>
      </c>
    </row>
    <row r="1263" spans="1:3" x14ac:dyDescent="0.2">
      <c r="A1263">
        <v>1261</v>
      </c>
      <c r="B1263">
        <f t="shared" si="20"/>
        <v>0</v>
      </c>
      <c r="C1263">
        <f>SUM($B$2:B1263)/A1263</f>
        <v>62.371134020618555</v>
      </c>
    </row>
    <row r="1264" spans="1:3" x14ac:dyDescent="0.2">
      <c r="A1264">
        <v>1262</v>
      </c>
      <c r="B1264">
        <f t="shared" si="20"/>
        <v>0</v>
      </c>
      <c r="C1264">
        <f>SUM($B$2:B1264)/A1264</f>
        <v>62.321711568938191</v>
      </c>
    </row>
    <row r="1265" spans="1:3" x14ac:dyDescent="0.2">
      <c r="A1265">
        <v>1263</v>
      </c>
      <c r="B1265">
        <f t="shared" si="20"/>
        <v>0</v>
      </c>
      <c r="C1265">
        <f>SUM($B$2:B1265)/A1265</f>
        <v>62.272367379255741</v>
      </c>
    </row>
    <row r="1266" spans="1:3" x14ac:dyDescent="0.2">
      <c r="A1266">
        <v>1264</v>
      </c>
      <c r="B1266">
        <f t="shared" si="20"/>
        <v>0</v>
      </c>
      <c r="C1266">
        <f>SUM($B$2:B1266)/A1266</f>
        <v>62.223101265822784</v>
      </c>
    </row>
    <row r="1267" spans="1:3" x14ac:dyDescent="0.2">
      <c r="A1267">
        <v>1265</v>
      </c>
      <c r="B1267">
        <f t="shared" si="20"/>
        <v>0</v>
      </c>
      <c r="C1267">
        <f>SUM($B$2:B1267)/A1267</f>
        <v>62.173913043478258</v>
      </c>
    </row>
    <row r="1268" spans="1:3" x14ac:dyDescent="0.2">
      <c r="A1268">
        <v>1266</v>
      </c>
      <c r="B1268">
        <f t="shared" si="20"/>
        <v>0</v>
      </c>
      <c r="C1268">
        <f>SUM($B$2:B1268)/A1268</f>
        <v>62.124802527646132</v>
      </c>
    </row>
    <row r="1269" spans="1:3" x14ac:dyDescent="0.2">
      <c r="A1269">
        <v>1267</v>
      </c>
      <c r="B1269">
        <f t="shared" si="20"/>
        <v>0</v>
      </c>
      <c r="C1269">
        <f>SUM($B$2:B1269)/A1269</f>
        <v>62.07576953433307</v>
      </c>
    </row>
    <row r="1270" spans="1:3" x14ac:dyDescent="0.2">
      <c r="A1270">
        <v>1268</v>
      </c>
      <c r="B1270">
        <f t="shared" si="20"/>
        <v>0</v>
      </c>
      <c r="C1270">
        <f>SUM($B$2:B1270)/A1270</f>
        <v>62.026813880126184</v>
      </c>
    </row>
    <row r="1271" spans="1:3" x14ac:dyDescent="0.2">
      <c r="A1271">
        <v>1269</v>
      </c>
      <c r="B1271">
        <f t="shared" si="20"/>
        <v>0</v>
      </c>
      <c r="C1271">
        <f>SUM($B$2:B1271)/A1271</f>
        <v>61.977935382190701</v>
      </c>
    </row>
    <row r="1272" spans="1:3" x14ac:dyDescent="0.2">
      <c r="A1272">
        <v>1270</v>
      </c>
      <c r="B1272">
        <f t="shared" si="20"/>
        <v>0</v>
      </c>
      <c r="C1272">
        <f>SUM($B$2:B1272)/A1272</f>
        <v>61.929133858267718</v>
      </c>
    </row>
    <row r="1273" spans="1:3" x14ac:dyDescent="0.2">
      <c r="A1273">
        <v>1271</v>
      </c>
      <c r="B1273">
        <f t="shared" si="20"/>
        <v>0</v>
      </c>
      <c r="C1273">
        <f>SUM($B$2:B1273)/A1273</f>
        <v>61.880409126671914</v>
      </c>
    </row>
    <row r="1274" spans="1:3" x14ac:dyDescent="0.2">
      <c r="A1274">
        <v>1272</v>
      </c>
      <c r="B1274">
        <f t="shared" si="20"/>
        <v>0</v>
      </c>
      <c r="C1274">
        <f>SUM($B$2:B1274)/A1274</f>
        <v>61.831761006289305</v>
      </c>
    </row>
    <row r="1275" spans="1:3" x14ac:dyDescent="0.2">
      <c r="A1275">
        <v>1273</v>
      </c>
      <c r="B1275">
        <f t="shared" si="20"/>
        <v>0</v>
      </c>
      <c r="C1275">
        <f>SUM($B$2:B1275)/A1275</f>
        <v>61.783189316575019</v>
      </c>
    </row>
    <row r="1276" spans="1:3" x14ac:dyDescent="0.2">
      <c r="A1276">
        <v>1274</v>
      </c>
      <c r="B1276">
        <f t="shared" si="20"/>
        <v>0</v>
      </c>
      <c r="C1276">
        <f>SUM($B$2:B1276)/A1276</f>
        <v>61.734693877551024</v>
      </c>
    </row>
    <row r="1277" spans="1:3" x14ac:dyDescent="0.2">
      <c r="A1277">
        <v>1275</v>
      </c>
      <c r="B1277">
        <f t="shared" si="20"/>
        <v>0</v>
      </c>
      <c r="C1277">
        <f>SUM($B$2:B1277)/A1277</f>
        <v>61.686274509803923</v>
      </c>
    </row>
    <row r="1278" spans="1:3" x14ac:dyDescent="0.2">
      <c r="A1278">
        <v>1276</v>
      </c>
      <c r="B1278">
        <f t="shared" si="20"/>
        <v>0</v>
      </c>
      <c r="C1278">
        <f>SUM($B$2:B1278)/A1278</f>
        <v>61.637931034482762</v>
      </c>
    </row>
    <row r="1279" spans="1:3" x14ac:dyDescent="0.2">
      <c r="A1279">
        <v>1277</v>
      </c>
      <c r="B1279">
        <f t="shared" si="20"/>
        <v>0</v>
      </c>
      <c r="C1279">
        <f>SUM($B$2:B1279)/A1279</f>
        <v>61.589663273296786</v>
      </c>
    </row>
    <row r="1280" spans="1:3" x14ac:dyDescent="0.2">
      <c r="A1280">
        <v>1278</v>
      </c>
      <c r="B1280">
        <f t="shared" si="20"/>
        <v>0</v>
      </c>
      <c r="C1280">
        <f>SUM($B$2:B1280)/A1280</f>
        <v>61.541471048513301</v>
      </c>
    </row>
    <row r="1281" spans="1:3" x14ac:dyDescent="0.2">
      <c r="A1281">
        <v>1279</v>
      </c>
      <c r="B1281">
        <f t="shared" si="20"/>
        <v>0</v>
      </c>
      <c r="C1281">
        <f>SUM($B$2:B1281)/A1281</f>
        <v>61.493354182955436</v>
      </c>
    </row>
    <row r="1282" spans="1:3" x14ac:dyDescent="0.2">
      <c r="A1282">
        <v>1280</v>
      </c>
      <c r="B1282">
        <f t="shared" si="20"/>
        <v>0</v>
      </c>
      <c r="C1282">
        <f>SUM($B$2:B1282)/A1282</f>
        <v>61.4453125</v>
      </c>
    </row>
    <row r="1283" spans="1:3" x14ac:dyDescent="0.2">
      <c r="A1283">
        <v>1281</v>
      </c>
      <c r="B1283">
        <f t="shared" si="20"/>
        <v>0</v>
      </c>
      <c r="C1283">
        <f>SUM($B$2:B1283)/A1283</f>
        <v>61.397345823575328</v>
      </c>
    </row>
    <row r="1284" spans="1:3" x14ac:dyDescent="0.2">
      <c r="A1284">
        <v>1282</v>
      </c>
      <c r="B1284">
        <f t="shared" si="20"/>
        <v>0</v>
      </c>
      <c r="C1284">
        <f>SUM($B$2:B1284)/A1284</f>
        <v>61.349453978159126</v>
      </c>
    </row>
    <row r="1285" spans="1:3" x14ac:dyDescent="0.2">
      <c r="A1285">
        <v>1283</v>
      </c>
      <c r="B1285">
        <f t="shared" ref="B1285:B1348" si="21">IF((A1284-IF(A1284+1/120&gt;1,ROUNDDOWN(A1284/120,0)*120,0))/20&lt;1,ROUNDDOWN((A1284-120*ROUNDDOWN(A1284/120,0))/2,0)*65+65,0)</f>
        <v>0</v>
      </c>
      <c r="C1285">
        <f>SUM($B$2:B1285)/A1285</f>
        <v>61.301636788776307</v>
      </c>
    </row>
    <row r="1286" spans="1:3" x14ac:dyDescent="0.2">
      <c r="A1286">
        <v>1284</v>
      </c>
      <c r="B1286">
        <f t="shared" si="21"/>
        <v>0</v>
      </c>
      <c r="C1286">
        <f>SUM($B$2:B1286)/A1286</f>
        <v>61.253894080996886</v>
      </c>
    </row>
    <row r="1287" spans="1:3" x14ac:dyDescent="0.2">
      <c r="A1287">
        <v>1285</v>
      </c>
      <c r="B1287">
        <f t="shared" si="21"/>
        <v>0</v>
      </c>
      <c r="C1287">
        <f>SUM($B$2:B1287)/A1287</f>
        <v>61.206225680933855</v>
      </c>
    </row>
    <row r="1288" spans="1:3" x14ac:dyDescent="0.2">
      <c r="A1288">
        <v>1286</v>
      </c>
      <c r="B1288">
        <f t="shared" si="21"/>
        <v>0</v>
      </c>
      <c r="C1288">
        <f>SUM($B$2:B1288)/A1288</f>
        <v>61.158631415241061</v>
      </c>
    </row>
    <row r="1289" spans="1:3" x14ac:dyDescent="0.2">
      <c r="A1289">
        <v>1287</v>
      </c>
      <c r="B1289">
        <f t="shared" si="21"/>
        <v>0</v>
      </c>
      <c r="C1289">
        <f>SUM($B$2:B1289)/A1289</f>
        <v>61.111111111111114</v>
      </c>
    </row>
    <row r="1290" spans="1:3" x14ac:dyDescent="0.2">
      <c r="A1290">
        <v>1288</v>
      </c>
      <c r="B1290">
        <f t="shared" si="21"/>
        <v>0</v>
      </c>
      <c r="C1290">
        <f>SUM($B$2:B1290)/A1290</f>
        <v>61.063664596273291</v>
      </c>
    </row>
    <row r="1291" spans="1:3" x14ac:dyDescent="0.2">
      <c r="A1291">
        <v>1289</v>
      </c>
      <c r="B1291">
        <f t="shared" si="21"/>
        <v>0</v>
      </c>
      <c r="C1291">
        <f>SUM($B$2:B1291)/A1291</f>
        <v>61.016291698991466</v>
      </c>
    </row>
    <row r="1292" spans="1:3" x14ac:dyDescent="0.2">
      <c r="A1292">
        <v>1290</v>
      </c>
      <c r="B1292">
        <f t="shared" si="21"/>
        <v>0</v>
      </c>
      <c r="C1292">
        <f>SUM($B$2:B1292)/A1292</f>
        <v>60.968992248062015</v>
      </c>
    </row>
    <row r="1293" spans="1:3" x14ac:dyDescent="0.2">
      <c r="A1293">
        <v>1291</v>
      </c>
      <c r="B1293">
        <f t="shared" si="21"/>
        <v>0</v>
      </c>
      <c r="C1293">
        <f>SUM($B$2:B1293)/A1293</f>
        <v>60.921766072811771</v>
      </c>
    </row>
    <row r="1294" spans="1:3" x14ac:dyDescent="0.2">
      <c r="A1294">
        <v>1292</v>
      </c>
      <c r="B1294">
        <f t="shared" si="21"/>
        <v>0</v>
      </c>
      <c r="C1294">
        <f>SUM($B$2:B1294)/A1294</f>
        <v>60.874613003095973</v>
      </c>
    </row>
    <row r="1295" spans="1:3" x14ac:dyDescent="0.2">
      <c r="A1295">
        <v>1293</v>
      </c>
      <c r="B1295">
        <f t="shared" si="21"/>
        <v>0</v>
      </c>
      <c r="C1295">
        <f>SUM($B$2:B1295)/A1295</f>
        <v>60.827532869296213</v>
      </c>
    </row>
    <row r="1296" spans="1:3" x14ac:dyDescent="0.2">
      <c r="A1296">
        <v>1294</v>
      </c>
      <c r="B1296">
        <f t="shared" si="21"/>
        <v>0</v>
      </c>
      <c r="C1296">
        <f>SUM($B$2:B1296)/A1296</f>
        <v>60.78052550231839</v>
      </c>
    </row>
    <row r="1297" spans="1:3" x14ac:dyDescent="0.2">
      <c r="A1297">
        <v>1295</v>
      </c>
      <c r="B1297">
        <f t="shared" si="21"/>
        <v>0</v>
      </c>
      <c r="C1297">
        <f>SUM($B$2:B1297)/A1297</f>
        <v>60.733590733590731</v>
      </c>
    </row>
    <row r="1298" spans="1:3" x14ac:dyDescent="0.2">
      <c r="A1298">
        <v>1296</v>
      </c>
      <c r="B1298">
        <f t="shared" si="21"/>
        <v>0</v>
      </c>
      <c r="C1298">
        <f>SUM($B$2:B1298)/A1298</f>
        <v>60.686728395061728</v>
      </c>
    </row>
    <row r="1299" spans="1:3" x14ac:dyDescent="0.2">
      <c r="A1299">
        <v>1297</v>
      </c>
      <c r="B1299">
        <f t="shared" si="21"/>
        <v>0</v>
      </c>
      <c r="C1299">
        <f>SUM($B$2:B1299)/A1299</f>
        <v>60.639938319198151</v>
      </c>
    </row>
    <row r="1300" spans="1:3" x14ac:dyDescent="0.2">
      <c r="A1300">
        <v>1298</v>
      </c>
      <c r="B1300">
        <f t="shared" si="21"/>
        <v>0</v>
      </c>
      <c r="C1300">
        <f>SUM($B$2:B1300)/A1300</f>
        <v>60.593220338983052</v>
      </c>
    </row>
    <row r="1301" spans="1:3" x14ac:dyDescent="0.2">
      <c r="A1301">
        <v>1299</v>
      </c>
      <c r="B1301">
        <f t="shared" si="21"/>
        <v>0</v>
      </c>
      <c r="C1301">
        <f>SUM($B$2:B1301)/A1301</f>
        <v>60.546574287913778</v>
      </c>
    </row>
    <row r="1302" spans="1:3" x14ac:dyDescent="0.2">
      <c r="A1302">
        <v>1300</v>
      </c>
      <c r="B1302">
        <f t="shared" si="21"/>
        <v>0</v>
      </c>
      <c r="C1302">
        <f>SUM($B$2:B1302)/A1302</f>
        <v>60.5</v>
      </c>
    </row>
    <row r="1303" spans="1:3" x14ac:dyDescent="0.2">
      <c r="A1303">
        <v>1301</v>
      </c>
      <c r="B1303">
        <f t="shared" si="21"/>
        <v>0</v>
      </c>
      <c r="C1303">
        <f>SUM($B$2:B1303)/A1303</f>
        <v>60.453497309761723</v>
      </c>
    </row>
    <row r="1304" spans="1:3" x14ac:dyDescent="0.2">
      <c r="A1304">
        <v>1302</v>
      </c>
      <c r="B1304">
        <f t="shared" si="21"/>
        <v>0</v>
      </c>
      <c r="C1304">
        <f>SUM($B$2:B1304)/A1304</f>
        <v>60.407066052227343</v>
      </c>
    </row>
    <row r="1305" spans="1:3" x14ac:dyDescent="0.2">
      <c r="A1305">
        <v>1303</v>
      </c>
      <c r="B1305">
        <f t="shared" si="21"/>
        <v>0</v>
      </c>
      <c r="C1305">
        <f>SUM($B$2:B1305)/A1305</f>
        <v>60.360706062931698</v>
      </c>
    </row>
    <row r="1306" spans="1:3" x14ac:dyDescent="0.2">
      <c r="A1306">
        <v>1304</v>
      </c>
      <c r="B1306">
        <f t="shared" si="21"/>
        <v>0</v>
      </c>
      <c r="C1306">
        <f>SUM($B$2:B1306)/A1306</f>
        <v>60.314417177914109</v>
      </c>
    </row>
    <row r="1307" spans="1:3" x14ac:dyDescent="0.2">
      <c r="A1307">
        <v>1305</v>
      </c>
      <c r="B1307">
        <f t="shared" si="21"/>
        <v>0</v>
      </c>
      <c r="C1307">
        <f>SUM($B$2:B1307)/A1307</f>
        <v>60.268199233716473</v>
      </c>
    </row>
    <row r="1308" spans="1:3" x14ac:dyDescent="0.2">
      <c r="A1308">
        <v>1306</v>
      </c>
      <c r="B1308">
        <f t="shared" si="21"/>
        <v>0</v>
      </c>
      <c r="C1308">
        <f>SUM($B$2:B1308)/A1308</f>
        <v>60.22205206738132</v>
      </c>
    </row>
    <row r="1309" spans="1:3" x14ac:dyDescent="0.2">
      <c r="A1309">
        <v>1307</v>
      </c>
      <c r="B1309">
        <f t="shared" si="21"/>
        <v>0</v>
      </c>
      <c r="C1309">
        <f>SUM($B$2:B1309)/A1309</f>
        <v>60.175975516449888</v>
      </c>
    </row>
    <row r="1310" spans="1:3" x14ac:dyDescent="0.2">
      <c r="A1310">
        <v>1308</v>
      </c>
      <c r="B1310">
        <f t="shared" si="21"/>
        <v>0</v>
      </c>
      <c r="C1310">
        <f>SUM($B$2:B1310)/A1310</f>
        <v>60.129969418960243</v>
      </c>
    </row>
    <row r="1311" spans="1:3" x14ac:dyDescent="0.2">
      <c r="A1311">
        <v>1309</v>
      </c>
      <c r="B1311">
        <f t="shared" si="21"/>
        <v>0</v>
      </c>
      <c r="C1311">
        <f>SUM($B$2:B1311)/A1311</f>
        <v>60.084033613445378</v>
      </c>
    </row>
    <row r="1312" spans="1:3" x14ac:dyDescent="0.2">
      <c r="A1312">
        <v>1310</v>
      </c>
      <c r="B1312">
        <f t="shared" si="21"/>
        <v>0</v>
      </c>
      <c r="C1312">
        <f>SUM($B$2:B1312)/A1312</f>
        <v>60.038167938931295</v>
      </c>
    </row>
    <row r="1313" spans="1:3" x14ac:dyDescent="0.2">
      <c r="A1313">
        <v>1311</v>
      </c>
      <c r="B1313">
        <f t="shared" si="21"/>
        <v>0</v>
      </c>
      <c r="C1313">
        <f>SUM($B$2:B1313)/A1313</f>
        <v>59.992372234935161</v>
      </c>
    </row>
    <row r="1314" spans="1:3" x14ac:dyDescent="0.2">
      <c r="A1314">
        <v>1312</v>
      </c>
      <c r="B1314">
        <f t="shared" si="21"/>
        <v>0</v>
      </c>
      <c r="C1314">
        <f>SUM($B$2:B1314)/A1314</f>
        <v>59.946646341463413</v>
      </c>
    </row>
    <row r="1315" spans="1:3" x14ac:dyDescent="0.2">
      <c r="A1315">
        <v>1313</v>
      </c>
      <c r="B1315">
        <f t="shared" si="21"/>
        <v>0</v>
      </c>
      <c r="C1315">
        <f>SUM($B$2:B1315)/A1315</f>
        <v>59.900990099009903</v>
      </c>
    </row>
    <row r="1316" spans="1:3" x14ac:dyDescent="0.2">
      <c r="A1316">
        <v>1314</v>
      </c>
      <c r="B1316">
        <f t="shared" si="21"/>
        <v>0</v>
      </c>
      <c r="C1316">
        <f>SUM($B$2:B1316)/A1316</f>
        <v>59.855403348554034</v>
      </c>
    </row>
    <row r="1317" spans="1:3" x14ac:dyDescent="0.2">
      <c r="A1317">
        <v>1315</v>
      </c>
      <c r="B1317">
        <f t="shared" si="21"/>
        <v>0</v>
      </c>
      <c r="C1317">
        <f>SUM($B$2:B1317)/A1317</f>
        <v>59.809885931558938</v>
      </c>
    </row>
    <row r="1318" spans="1:3" x14ac:dyDescent="0.2">
      <c r="A1318">
        <v>1316</v>
      </c>
      <c r="B1318">
        <f t="shared" si="21"/>
        <v>0</v>
      </c>
      <c r="C1318">
        <f>SUM($B$2:B1318)/A1318</f>
        <v>59.764437689969604</v>
      </c>
    </row>
    <row r="1319" spans="1:3" x14ac:dyDescent="0.2">
      <c r="A1319">
        <v>1317</v>
      </c>
      <c r="B1319">
        <f t="shared" si="21"/>
        <v>0</v>
      </c>
      <c r="C1319">
        <f>SUM($B$2:B1319)/A1319</f>
        <v>59.719058466211088</v>
      </c>
    </row>
    <row r="1320" spans="1:3" x14ac:dyDescent="0.2">
      <c r="A1320">
        <v>1318</v>
      </c>
      <c r="B1320">
        <f t="shared" si="21"/>
        <v>0</v>
      </c>
      <c r="C1320">
        <f>SUM($B$2:B1320)/A1320</f>
        <v>59.673748103186647</v>
      </c>
    </row>
    <row r="1321" spans="1:3" x14ac:dyDescent="0.2">
      <c r="A1321">
        <v>1319</v>
      </c>
      <c r="B1321">
        <f t="shared" si="21"/>
        <v>0</v>
      </c>
      <c r="C1321">
        <f>SUM($B$2:B1321)/A1321</f>
        <v>59.628506444275963</v>
      </c>
    </row>
    <row r="1322" spans="1:3" x14ac:dyDescent="0.2">
      <c r="A1322">
        <v>1320</v>
      </c>
      <c r="B1322">
        <f t="shared" si="21"/>
        <v>0</v>
      </c>
      <c r="C1322">
        <f>SUM($B$2:B1322)/A1322</f>
        <v>59.583333333333336</v>
      </c>
    </row>
    <row r="1323" spans="1:3" x14ac:dyDescent="0.2">
      <c r="A1323">
        <v>1321</v>
      </c>
      <c r="B1323">
        <f t="shared" si="21"/>
        <v>65</v>
      </c>
      <c r="C1323">
        <f>SUM($B$2:B1323)/A1323</f>
        <v>59.587433762301288</v>
      </c>
    </row>
    <row r="1324" spans="1:3" x14ac:dyDescent="0.2">
      <c r="A1324">
        <v>1322</v>
      </c>
      <c r="B1324">
        <f t="shared" si="21"/>
        <v>65</v>
      </c>
      <c r="C1324">
        <f>SUM($B$2:B1324)/A1324</f>
        <v>59.591527987897123</v>
      </c>
    </row>
    <row r="1325" spans="1:3" x14ac:dyDescent="0.2">
      <c r="A1325">
        <v>1323</v>
      </c>
      <c r="B1325">
        <f t="shared" si="21"/>
        <v>130</v>
      </c>
      <c r="C1325">
        <f>SUM($B$2:B1325)/A1325</f>
        <v>59.644746787603928</v>
      </c>
    </row>
    <row r="1326" spans="1:3" x14ac:dyDescent="0.2">
      <c r="A1326">
        <v>1324</v>
      </c>
      <c r="B1326">
        <f t="shared" si="21"/>
        <v>130</v>
      </c>
      <c r="C1326">
        <f>SUM($B$2:B1326)/A1326</f>
        <v>59.697885196374621</v>
      </c>
    </row>
    <row r="1327" spans="1:3" x14ac:dyDescent="0.2">
      <c r="A1327">
        <v>1325</v>
      </c>
      <c r="B1327">
        <f t="shared" si="21"/>
        <v>195</v>
      </c>
      <c r="C1327">
        <f>SUM($B$2:B1327)/A1327</f>
        <v>59.8</v>
      </c>
    </row>
    <row r="1328" spans="1:3" x14ac:dyDescent="0.2">
      <c r="A1328">
        <v>1326</v>
      </c>
      <c r="B1328">
        <f t="shared" si="21"/>
        <v>195</v>
      </c>
      <c r="C1328">
        <f>SUM($B$2:B1328)/A1328</f>
        <v>59.901960784313722</v>
      </c>
    </row>
    <row r="1329" spans="1:3" x14ac:dyDescent="0.2">
      <c r="A1329">
        <v>1327</v>
      </c>
      <c r="B1329">
        <f t="shared" si="21"/>
        <v>260</v>
      </c>
      <c r="C1329">
        <f>SUM($B$2:B1329)/A1329</f>
        <v>60.052750565184624</v>
      </c>
    </row>
    <row r="1330" spans="1:3" x14ac:dyDescent="0.2">
      <c r="A1330">
        <v>1328</v>
      </c>
      <c r="B1330">
        <f t="shared" si="21"/>
        <v>260</v>
      </c>
      <c r="C1330">
        <f>SUM($B$2:B1330)/A1330</f>
        <v>60.203313253012048</v>
      </c>
    </row>
    <row r="1331" spans="1:3" x14ac:dyDescent="0.2">
      <c r="A1331">
        <v>1329</v>
      </c>
      <c r="B1331">
        <f t="shared" si="21"/>
        <v>325</v>
      </c>
      <c r="C1331">
        <f>SUM($B$2:B1331)/A1331</f>
        <v>60.402558314522196</v>
      </c>
    </row>
    <row r="1332" spans="1:3" x14ac:dyDescent="0.2">
      <c r="A1332">
        <v>1330</v>
      </c>
      <c r="B1332">
        <f t="shared" si="21"/>
        <v>325</v>
      </c>
      <c r="C1332">
        <f>SUM($B$2:B1332)/A1332</f>
        <v>60.601503759398497</v>
      </c>
    </row>
    <row r="1333" spans="1:3" x14ac:dyDescent="0.2">
      <c r="A1333">
        <v>1331</v>
      </c>
      <c r="B1333">
        <f t="shared" si="21"/>
        <v>390</v>
      </c>
      <c r="C1333">
        <f>SUM($B$2:B1333)/A1333</f>
        <v>60.848985725018785</v>
      </c>
    </row>
    <row r="1334" spans="1:3" x14ac:dyDescent="0.2">
      <c r="A1334">
        <v>1332</v>
      </c>
      <c r="B1334">
        <f t="shared" si="21"/>
        <v>390</v>
      </c>
      <c r="C1334">
        <f>SUM($B$2:B1334)/A1334</f>
        <v>61.096096096096097</v>
      </c>
    </row>
    <row r="1335" spans="1:3" x14ac:dyDescent="0.2">
      <c r="A1335">
        <v>1333</v>
      </c>
      <c r="B1335">
        <f t="shared" si="21"/>
        <v>455</v>
      </c>
      <c r="C1335">
        <f>SUM($B$2:B1335)/A1335</f>
        <v>61.391597899474867</v>
      </c>
    </row>
    <row r="1336" spans="1:3" x14ac:dyDescent="0.2">
      <c r="A1336">
        <v>1334</v>
      </c>
      <c r="B1336">
        <f t="shared" si="21"/>
        <v>455</v>
      </c>
      <c r="C1336">
        <f>SUM($B$2:B1336)/A1336</f>
        <v>61.686656671664167</v>
      </c>
    </row>
    <row r="1337" spans="1:3" x14ac:dyDescent="0.2">
      <c r="A1337">
        <v>1335</v>
      </c>
      <c r="B1337">
        <f t="shared" si="21"/>
        <v>520</v>
      </c>
      <c r="C1337">
        <f>SUM($B$2:B1337)/A1337</f>
        <v>62.029962546816478</v>
      </c>
    </row>
    <row r="1338" spans="1:3" x14ac:dyDescent="0.2">
      <c r="A1338">
        <v>1336</v>
      </c>
      <c r="B1338">
        <f t="shared" si="21"/>
        <v>520</v>
      </c>
      <c r="C1338">
        <f>SUM($B$2:B1338)/A1338</f>
        <v>62.372754491017965</v>
      </c>
    </row>
    <row r="1339" spans="1:3" x14ac:dyDescent="0.2">
      <c r="A1339">
        <v>1337</v>
      </c>
      <c r="B1339">
        <f t="shared" si="21"/>
        <v>585</v>
      </c>
      <c r="C1339">
        <f>SUM($B$2:B1339)/A1339</f>
        <v>62.763649962602841</v>
      </c>
    </row>
    <row r="1340" spans="1:3" x14ac:dyDescent="0.2">
      <c r="A1340">
        <v>1338</v>
      </c>
      <c r="B1340">
        <f t="shared" si="21"/>
        <v>585</v>
      </c>
      <c r="C1340">
        <f>SUM($B$2:B1340)/A1340</f>
        <v>63.153961136023916</v>
      </c>
    </row>
    <row r="1341" spans="1:3" x14ac:dyDescent="0.2">
      <c r="A1341">
        <v>1339</v>
      </c>
      <c r="B1341">
        <f t="shared" si="21"/>
        <v>650</v>
      </c>
      <c r="C1341">
        <f>SUM($B$2:B1341)/A1341</f>
        <v>63.592233009708735</v>
      </c>
    </row>
    <row r="1342" spans="1:3" x14ac:dyDescent="0.2">
      <c r="A1342">
        <v>1340</v>
      </c>
      <c r="B1342">
        <f t="shared" si="21"/>
        <v>650</v>
      </c>
      <c r="C1342">
        <f>SUM($B$2:B1342)/A1342</f>
        <v>64.02985074626865</v>
      </c>
    </row>
    <row r="1343" spans="1:3" x14ac:dyDescent="0.2">
      <c r="A1343">
        <v>1341</v>
      </c>
      <c r="B1343">
        <f t="shared" si="21"/>
        <v>0</v>
      </c>
      <c r="C1343">
        <f>SUM($B$2:B1343)/A1343</f>
        <v>63.982102908277405</v>
      </c>
    </row>
    <row r="1344" spans="1:3" x14ac:dyDescent="0.2">
      <c r="A1344">
        <v>1342</v>
      </c>
      <c r="B1344">
        <f t="shared" si="21"/>
        <v>0</v>
      </c>
      <c r="C1344">
        <f>SUM($B$2:B1344)/A1344</f>
        <v>63.934426229508198</v>
      </c>
    </row>
    <row r="1345" spans="1:3" x14ac:dyDescent="0.2">
      <c r="A1345">
        <v>1343</v>
      </c>
      <c r="B1345">
        <f t="shared" si="21"/>
        <v>0</v>
      </c>
      <c r="C1345">
        <f>SUM($B$2:B1345)/A1345</f>
        <v>63.886820551005215</v>
      </c>
    </row>
    <row r="1346" spans="1:3" x14ac:dyDescent="0.2">
      <c r="A1346">
        <v>1344</v>
      </c>
      <c r="B1346">
        <f t="shared" si="21"/>
        <v>0</v>
      </c>
      <c r="C1346">
        <f>SUM($B$2:B1346)/A1346</f>
        <v>63.839285714285715</v>
      </c>
    </row>
    <row r="1347" spans="1:3" x14ac:dyDescent="0.2">
      <c r="A1347">
        <v>1345</v>
      </c>
      <c r="B1347">
        <f t="shared" si="21"/>
        <v>0</v>
      </c>
      <c r="C1347">
        <f>SUM($B$2:B1347)/A1347</f>
        <v>63.791821561338288</v>
      </c>
    </row>
    <row r="1348" spans="1:3" x14ac:dyDescent="0.2">
      <c r="A1348">
        <v>1346</v>
      </c>
      <c r="B1348">
        <f t="shared" si="21"/>
        <v>0</v>
      </c>
      <c r="C1348">
        <f>SUM($B$2:B1348)/A1348</f>
        <v>63.7444279346211</v>
      </c>
    </row>
    <row r="1349" spans="1:3" x14ac:dyDescent="0.2">
      <c r="A1349">
        <v>1347</v>
      </c>
      <c r="B1349">
        <f t="shared" ref="B1349:B1412" si="22">IF((A1348-IF(A1348+1/120&gt;1,ROUNDDOWN(A1348/120,0)*120,0))/20&lt;1,ROUNDDOWN((A1348-120*ROUNDDOWN(A1348/120,0))/2,0)*65+65,0)</f>
        <v>0</v>
      </c>
      <c r="C1349">
        <f>SUM($B$2:B1349)/A1349</f>
        <v>63.697104677060132</v>
      </c>
    </row>
    <row r="1350" spans="1:3" x14ac:dyDescent="0.2">
      <c r="A1350">
        <v>1348</v>
      </c>
      <c r="B1350">
        <f t="shared" si="22"/>
        <v>0</v>
      </c>
      <c r="C1350">
        <f>SUM($B$2:B1350)/A1350</f>
        <v>63.649851632047479</v>
      </c>
    </row>
    <row r="1351" spans="1:3" x14ac:dyDescent="0.2">
      <c r="A1351">
        <v>1349</v>
      </c>
      <c r="B1351">
        <f t="shared" si="22"/>
        <v>0</v>
      </c>
      <c r="C1351">
        <f>SUM($B$2:B1351)/A1351</f>
        <v>63.602668643439586</v>
      </c>
    </row>
    <row r="1352" spans="1:3" x14ac:dyDescent="0.2">
      <c r="A1352">
        <v>1350</v>
      </c>
      <c r="B1352">
        <f t="shared" si="22"/>
        <v>0</v>
      </c>
      <c r="C1352">
        <f>SUM($B$2:B1352)/A1352</f>
        <v>63.555555555555557</v>
      </c>
    </row>
    <row r="1353" spans="1:3" x14ac:dyDescent="0.2">
      <c r="A1353">
        <v>1351</v>
      </c>
      <c r="B1353">
        <f t="shared" si="22"/>
        <v>0</v>
      </c>
      <c r="C1353">
        <f>SUM($B$2:B1353)/A1353</f>
        <v>63.508512213175429</v>
      </c>
    </row>
    <row r="1354" spans="1:3" x14ac:dyDescent="0.2">
      <c r="A1354">
        <v>1352</v>
      </c>
      <c r="B1354">
        <f t="shared" si="22"/>
        <v>0</v>
      </c>
      <c r="C1354">
        <f>SUM($B$2:B1354)/A1354</f>
        <v>63.46153846153846</v>
      </c>
    </row>
    <row r="1355" spans="1:3" x14ac:dyDescent="0.2">
      <c r="A1355">
        <v>1353</v>
      </c>
      <c r="B1355">
        <f t="shared" si="22"/>
        <v>0</v>
      </c>
      <c r="C1355">
        <f>SUM($B$2:B1355)/A1355</f>
        <v>63.414634146341463</v>
      </c>
    </row>
    <row r="1356" spans="1:3" x14ac:dyDescent="0.2">
      <c r="A1356">
        <v>1354</v>
      </c>
      <c r="B1356">
        <f t="shared" si="22"/>
        <v>0</v>
      </c>
      <c r="C1356">
        <f>SUM($B$2:B1356)/A1356</f>
        <v>63.367799113737078</v>
      </c>
    </row>
    <row r="1357" spans="1:3" x14ac:dyDescent="0.2">
      <c r="A1357">
        <v>1355</v>
      </c>
      <c r="B1357">
        <f t="shared" si="22"/>
        <v>0</v>
      </c>
      <c r="C1357">
        <f>SUM($B$2:B1357)/A1357</f>
        <v>63.321033210332104</v>
      </c>
    </row>
    <row r="1358" spans="1:3" x14ac:dyDescent="0.2">
      <c r="A1358">
        <v>1356</v>
      </c>
      <c r="B1358">
        <f t="shared" si="22"/>
        <v>0</v>
      </c>
      <c r="C1358">
        <f>SUM($B$2:B1358)/A1358</f>
        <v>63.274336283185839</v>
      </c>
    </row>
    <row r="1359" spans="1:3" x14ac:dyDescent="0.2">
      <c r="A1359">
        <v>1357</v>
      </c>
      <c r="B1359">
        <f t="shared" si="22"/>
        <v>0</v>
      </c>
      <c r="C1359">
        <f>SUM($B$2:B1359)/A1359</f>
        <v>63.227708179808403</v>
      </c>
    </row>
    <row r="1360" spans="1:3" x14ac:dyDescent="0.2">
      <c r="A1360">
        <v>1358</v>
      </c>
      <c r="B1360">
        <f t="shared" si="22"/>
        <v>0</v>
      </c>
      <c r="C1360">
        <f>SUM($B$2:B1360)/A1360</f>
        <v>63.18114874815906</v>
      </c>
    </row>
    <row r="1361" spans="1:3" x14ac:dyDescent="0.2">
      <c r="A1361">
        <v>1359</v>
      </c>
      <c r="B1361">
        <f t="shared" si="22"/>
        <v>0</v>
      </c>
      <c r="C1361">
        <f>SUM($B$2:B1361)/A1361</f>
        <v>63.134657836644593</v>
      </c>
    </row>
    <row r="1362" spans="1:3" x14ac:dyDescent="0.2">
      <c r="A1362">
        <v>1360</v>
      </c>
      <c r="B1362">
        <f t="shared" si="22"/>
        <v>0</v>
      </c>
      <c r="C1362">
        <f>SUM($B$2:B1362)/A1362</f>
        <v>63.088235294117645</v>
      </c>
    </row>
    <row r="1363" spans="1:3" x14ac:dyDescent="0.2">
      <c r="A1363">
        <v>1361</v>
      </c>
      <c r="B1363">
        <f t="shared" si="22"/>
        <v>0</v>
      </c>
      <c r="C1363">
        <f>SUM($B$2:B1363)/A1363</f>
        <v>63.041880969875095</v>
      </c>
    </row>
    <row r="1364" spans="1:3" x14ac:dyDescent="0.2">
      <c r="A1364">
        <v>1362</v>
      </c>
      <c r="B1364">
        <f t="shared" si="22"/>
        <v>0</v>
      </c>
      <c r="C1364">
        <f>SUM($B$2:B1364)/A1364</f>
        <v>62.995594713656388</v>
      </c>
    </row>
    <row r="1365" spans="1:3" x14ac:dyDescent="0.2">
      <c r="A1365">
        <v>1363</v>
      </c>
      <c r="B1365">
        <f t="shared" si="22"/>
        <v>0</v>
      </c>
      <c r="C1365">
        <f>SUM($B$2:B1365)/A1365</f>
        <v>62.949376375641968</v>
      </c>
    </row>
    <row r="1366" spans="1:3" x14ac:dyDescent="0.2">
      <c r="A1366">
        <v>1364</v>
      </c>
      <c r="B1366">
        <f t="shared" si="22"/>
        <v>0</v>
      </c>
      <c r="C1366">
        <f>SUM($B$2:B1366)/A1366</f>
        <v>62.903225806451616</v>
      </c>
    </row>
    <row r="1367" spans="1:3" x14ac:dyDescent="0.2">
      <c r="A1367">
        <v>1365</v>
      </c>
      <c r="B1367">
        <f t="shared" si="22"/>
        <v>0</v>
      </c>
      <c r="C1367">
        <f>SUM($B$2:B1367)/A1367</f>
        <v>62.857142857142854</v>
      </c>
    </row>
    <row r="1368" spans="1:3" x14ac:dyDescent="0.2">
      <c r="A1368">
        <v>1366</v>
      </c>
      <c r="B1368">
        <f t="shared" si="22"/>
        <v>0</v>
      </c>
      <c r="C1368">
        <f>SUM($B$2:B1368)/A1368</f>
        <v>62.811127379209367</v>
      </c>
    </row>
    <row r="1369" spans="1:3" x14ac:dyDescent="0.2">
      <c r="A1369">
        <v>1367</v>
      </c>
      <c r="B1369">
        <f t="shared" si="22"/>
        <v>0</v>
      </c>
      <c r="C1369">
        <f>SUM($B$2:B1369)/A1369</f>
        <v>62.76517922457937</v>
      </c>
    </row>
    <row r="1370" spans="1:3" x14ac:dyDescent="0.2">
      <c r="A1370">
        <v>1368</v>
      </c>
      <c r="B1370">
        <f t="shared" si="22"/>
        <v>0</v>
      </c>
      <c r="C1370">
        <f>SUM($B$2:B1370)/A1370</f>
        <v>62.719298245614034</v>
      </c>
    </row>
    <row r="1371" spans="1:3" x14ac:dyDescent="0.2">
      <c r="A1371">
        <v>1369</v>
      </c>
      <c r="B1371">
        <f t="shared" si="22"/>
        <v>0</v>
      </c>
      <c r="C1371">
        <f>SUM($B$2:B1371)/A1371</f>
        <v>62.673484295105915</v>
      </c>
    </row>
    <row r="1372" spans="1:3" x14ac:dyDescent="0.2">
      <c r="A1372">
        <v>1370</v>
      </c>
      <c r="B1372">
        <f t="shared" si="22"/>
        <v>0</v>
      </c>
      <c r="C1372">
        <f>SUM($B$2:B1372)/A1372</f>
        <v>62.627737226277375</v>
      </c>
    </row>
    <row r="1373" spans="1:3" x14ac:dyDescent="0.2">
      <c r="A1373">
        <v>1371</v>
      </c>
      <c r="B1373">
        <f t="shared" si="22"/>
        <v>0</v>
      </c>
      <c r="C1373">
        <f>SUM($B$2:B1373)/A1373</f>
        <v>62.582056892778994</v>
      </c>
    </row>
    <row r="1374" spans="1:3" x14ac:dyDescent="0.2">
      <c r="A1374">
        <v>1372</v>
      </c>
      <c r="B1374">
        <f t="shared" si="22"/>
        <v>0</v>
      </c>
      <c r="C1374">
        <f>SUM($B$2:B1374)/A1374</f>
        <v>62.536443148688043</v>
      </c>
    </row>
    <row r="1375" spans="1:3" x14ac:dyDescent="0.2">
      <c r="A1375">
        <v>1373</v>
      </c>
      <c r="B1375">
        <f t="shared" si="22"/>
        <v>0</v>
      </c>
      <c r="C1375">
        <f>SUM($B$2:B1375)/A1375</f>
        <v>62.490895848506916</v>
      </c>
    </row>
    <row r="1376" spans="1:3" x14ac:dyDescent="0.2">
      <c r="A1376">
        <v>1374</v>
      </c>
      <c r="B1376">
        <f t="shared" si="22"/>
        <v>0</v>
      </c>
      <c r="C1376">
        <f>SUM($B$2:B1376)/A1376</f>
        <v>62.445414847161572</v>
      </c>
    </row>
    <row r="1377" spans="1:3" x14ac:dyDescent="0.2">
      <c r="A1377">
        <v>1375</v>
      </c>
      <c r="B1377">
        <f t="shared" si="22"/>
        <v>0</v>
      </c>
      <c r="C1377">
        <f>SUM($B$2:B1377)/A1377</f>
        <v>62.4</v>
      </c>
    </row>
    <row r="1378" spans="1:3" x14ac:dyDescent="0.2">
      <c r="A1378">
        <v>1376</v>
      </c>
      <c r="B1378">
        <f t="shared" si="22"/>
        <v>0</v>
      </c>
      <c r="C1378">
        <f>SUM($B$2:B1378)/A1378</f>
        <v>62.354651162790695</v>
      </c>
    </row>
    <row r="1379" spans="1:3" x14ac:dyDescent="0.2">
      <c r="A1379">
        <v>1377</v>
      </c>
      <c r="B1379">
        <f t="shared" si="22"/>
        <v>0</v>
      </c>
      <c r="C1379">
        <f>SUM($B$2:B1379)/A1379</f>
        <v>62.309368191721134</v>
      </c>
    </row>
    <row r="1380" spans="1:3" x14ac:dyDescent="0.2">
      <c r="A1380">
        <v>1378</v>
      </c>
      <c r="B1380">
        <f t="shared" si="22"/>
        <v>0</v>
      </c>
      <c r="C1380">
        <f>SUM($B$2:B1380)/A1380</f>
        <v>62.264150943396224</v>
      </c>
    </row>
    <row r="1381" spans="1:3" x14ac:dyDescent="0.2">
      <c r="A1381">
        <v>1379</v>
      </c>
      <c r="B1381">
        <f t="shared" si="22"/>
        <v>0</v>
      </c>
      <c r="C1381">
        <f>SUM($B$2:B1381)/A1381</f>
        <v>62.21899927483684</v>
      </c>
    </row>
    <row r="1382" spans="1:3" x14ac:dyDescent="0.2">
      <c r="A1382">
        <v>1380</v>
      </c>
      <c r="B1382">
        <f t="shared" si="22"/>
        <v>0</v>
      </c>
      <c r="C1382">
        <f>SUM($B$2:B1382)/A1382</f>
        <v>62.173913043478258</v>
      </c>
    </row>
    <row r="1383" spans="1:3" x14ac:dyDescent="0.2">
      <c r="A1383">
        <v>1381</v>
      </c>
      <c r="B1383">
        <f t="shared" si="22"/>
        <v>0</v>
      </c>
      <c r="C1383">
        <f>SUM($B$2:B1383)/A1383</f>
        <v>62.128892107168717</v>
      </c>
    </row>
    <row r="1384" spans="1:3" x14ac:dyDescent="0.2">
      <c r="A1384">
        <v>1382</v>
      </c>
      <c r="B1384">
        <f t="shared" si="22"/>
        <v>0</v>
      </c>
      <c r="C1384">
        <f>SUM($B$2:B1384)/A1384</f>
        <v>62.083936324167873</v>
      </c>
    </row>
    <row r="1385" spans="1:3" x14ac:dyDescent="0.2">
      <c r="A1385">
        <v>1383</v>
      </c>
      <c r="B1385">
        <f t="shared" si="22"/>
        <v>0</v>
      </c>
      <c r="C1385">
        <f>SUM($B$2:B1385)/A1385</f>
        <v>62.039045553145336</v>
      </c>
    </row>
    <row r="1386" spans="1:3" x14ac:dyDescent="0.2">
      <c r="A1386">
        <v>1384</v>
      </c>
      <c r="B1386">
        <f t="shared" si="22"/>
        <v>0</v>
      </c>
      <c r="C1386">
        <f>SUM($B$2:B1386)/A1386</f>
        <v>61.994219653179194</v>
      </c>
    </row>
    <row r="1387" spans="1:3" x14ac:dyDescent="0.2">
      <c r="A1387">
        <v>1385</v>
      </c>
      <c r="B1387">
        <f t="shared" si="22"/>
        <v>0</v>
      </c>
      <c r="C1387">
        <f>SUM($B$2:B1387)/A1387</f>
        <v>61.949458483754512</v>
      </c>
    </row>
    <row r="1388" spans="1:3" x14ac:dyDescent="0.2">
      <c r="A1388">
        <v>1386</v>
      </c>
      <c r="B1388">
        <f t="shared" si="22"/>
        <v>0</v>
      </c>
      <c r="C1388">
        <f>SUM($B$2:B1388)/A1388</f>
        <v>61.904761904761905</v>
      </c>
    </row>
    <row r="1389" spans="1:3" x14ac:dyDescent="0.2">
      <c r="A1389">
        <v>1387</v>
      </c>
      <c r="B1389">
        <f t="shared" si="22"/>
        <v>0</v>
      </c>
      <c r="C1389">
        <f>SUM($B$2:B1389)/A1389</f>
        <v>61.860129776496038</v>
      </c>
    </row>
    <row r="1390" spans="1:3" x14ac:dyDescent="0.2">
      <c r="A1390">
        <v>1388</v>
      </c>
      <c r="B1390">
        <f t="shared" si="22"/>
        <v>0</v>
      </c>
      <c r="C1390">
        <f>SUM($B$2:B1390)/A1390</f>
        <v>61.815561959654175</v>
      </c>
    </row>
    <row r="1391" spans="1:3" x14ac:dyDescent="0.2">
      <c r="A1391">
        <v>1389</v>
      </c>
      <c r="B1391">
        <f t="shared" si="22"/>
        <v>0</v>
      </c>
      <c r="C1391">
        <f>SUM($B$2:B1391)/A1391</f>
        <v>61.77105831533477</v>
      </c>
    </row>
    <row r="1392" spans="1:3" x14ac:dyDescent="0.2">
      <c r="A1392">
        <v>1390</v>
      </c>
      <c r="B1392">
        <f t="shared" si="22"/>
        <v>0</v>
      </c>
      <c r="C1392">
        <f>SUM($B$2:B1392)/A1392</f>
        <v>61.726618705035975</v>
      </c>
    </row>
    <row r="1393" spans="1:3" x14ac:dyDescent="0.2">
      <c r="A1393">
        <v>1391</v>
      </c>
      <c r="B1393">
        <f t="shared" si="22"/>
        <v>0</v>
      </c>
      <c r="C1393">
        <f>SUM($B$2:B1393)/A1393</f>
        <v>61.682242990654203</v>
      </c>
    </row>
    <row r="1394" spans="1:3" x14ac:dyDescent="0.2">
      <c r="A1394">
        <v>1392</v>
      </c>
      <c r="B1394">
        <f t="shared" si="22"/>
        <v>0</v>
      </c>
      <c r="C1394">
        <f>SUM($B$2:B1394)/A1394</f>
        <v>61.637931034482762</v>
      </c>
    </row>
    <row r="1395" spans="1:3" x14ac:dyDescent="0.2">
      <c r="A1395">
        <v>1393</v>
      </c>
      <c r="B1395">
        <f t="shared" si="22"/>
        <v>0</v>
      </c>
      <c r="C1395">
        <f>SUM($B$2:B1395)/A1395</f>
        <v>61.593682699210341</v>
      </c>
    </row>
    <row r="1396" spans="1:3" x14ac:dyDescent="0.2">
      <c r="A1396">
        <v>1394</v>
      </c>
      <c r="B1396">
        <f t="shared" si="22"/>
        <v>0</v>
      </c>
      <c r="C1396">
        <f>SUM($B$2:B1396)/A1396</f>
        <v>61.549497847919653</v>
      </c>
    </row>
    <row r="1397" spans="1:3" x14ac:dyDescent="0.2">
      <c r="A1397">
        <v>1395</v>
      </c>
      <c r="B1397">
        <f t="shared" si="22"/>
        <v>0</v>
      </c>
      <c r="C1397">
        <f>SUM($B$2:B1397)/A1397</f>
        <v>61.505376344086024</v>
      </c>
    </row>
    <row r="1398" spans="1:3" x14ac:dyDescent="0.2">
      <c r="A1398">
        <v>1396</v>
      </c>
      <c r="B1398">
        <f t="shared" si="22"/>
        <v>0</v>
      </c>
      <c r="C1398">
        <f>SUM($B$2:B1398)/A1398</f>
        <v>61.46131805157593</v>
      </c>
    </row>
    <row r="1399" spans="1:3" x14ac:dyDescent="0.2">
      <c r="A1399">
        <v>1397</v>
      </c>
      <c r="B1399">
        <f t="shared" si="22"/>
        <v>0</v>
      </c>
      <c r="C1399">
        <f>SUM($B$2:B1399)/A1399</f>
        <v>61.417322834645667</v>
      </c>
    </row>
    <row r="1400" spans="1:3" x14ac:dyDescent="0.2">
      <c r="A1400">
        <v>1398</v>
      </c>
      <c r="B1400">
        <f t="shared" si="22"/>
        <v>0</v>
      </c>
      <c r="C1400">
        <f>SUM($B$2:B1400)/A1400</f>
        <v>61.373390557939913</v>
      </c>
    </row>
    <row r="1401" spans="1:3" x14ac:dyDescent="0.2">
      <c r="A1401">
        <v>1399</v>
      </c>
      <c r="B1401">
        <f t="shared" si="22"/>
        <v>0</v>
      </c>
      <c r="C1401">
        <f>SUM($B$2:B1401)/A1401</f>
        <v>61.329521086490352</v>
      </c>
    </row>
    <row r="1402" spans="1:3" x14ac:dyDescent="0.2">
      <c r="A1402">
        <v>1400</v>
      </c>
      <c r="B1402">
        <f t="shared" si="22"/>
        <v>0</v>
      </c>
      <c r="C1402">
        <f>SUM($B$2:B1402)/A1402</f>
        <v>61.285714285714285</v>
      </c>
    </row>
    <row r="1403" spans="1:3" x14ac:dyDescent="0.2">
      <c r="A1403">
        <v>1401</v>
      </c>
      <c r="B1403">
        <f t="shared" si="22"/>
        <v>0</v>
      </c>
      <c r="C1403">
        <f>SUM($B$2:B1403)/A1403</f>
        <v>61.241970021413273</v>
      </c>
    </row>
    <row r="1404" spans="1:3" x14ac:dyDescent="0.2">
      <c r="A1404">
        <v>1402</v>
      </c>
      <c r="B1404">
        <f t="shared" si="22"/>
        <v>0</v>
      </c>
      <c r="C1404">
        <f>SUM($B$2:B1404)/A1404</f>
        <v>61.198288159771757</v>
      </c>
    </row>
    <row r="1405" spans="1:3" x14ac:dyDescent="0.2">
      <c r="A1405">
        <v>1403</v>
      </c>
      <c r="B1405">
        <f t="shared" si="22"/>
        <v>0</v>
      </c>
      <c r="C1405">
        <f>SUM($B$2:B1405)/A1405</f>
        <v>61.154668567355664</v>
      </c>
    </row>
    <row r="1406" spans="1:3" x14ac:dyDescent="0.2">
      <c r="A1406">
        <v>1404</v>
      </c>
      <c r="B1406">
        <f t="shared" si="22"/>
        <v>0</v>
      </c>
      <c r="C1406">
        <f>SUM($B$2:B1406)/A1406</f>
        <v>61.111111111111114</v>
      </c>
    </row>
    <row r="1407" spans="1:3" x14ac:dyDescent="0.2">
      <c r="A1407">
        <v>1405</v>
      </c>
      <c r="B1407">
        <f t="shared" si="22"/>
        <v>0</v>
      </c>
      <c r="C1407">
        <f>SUM($B$2:B1407)/A1407</f>
        <v>61.067615658362989</v>
      </c>
    </row>
    <row r="1408" spans="1:3" x14ac:dyDescent="0.2">
      <c r="A1408">
        <v>1406</v>
      </c>
      <c r="B1408">
        <f t="shared" si="22"/>
        <v>0</v>
      </c>
      <c r="C1408">
        <f>SUM($B$2:B1408)/A1408</f>
        <v>61.024182076813659</v>
      </c>
    </row>
    <row r="1409" spans="1:3" x14ac:dyDescent="0.2">
      <c r="A1409">
        <v>1407</v>
      </c>
      <c r="B1409">
        <f t="shared" si="22"/>
        <v>0</v>
      </c>
      <c r="C1409">
        <f>SUM($B$2:B1409)/A1409</f>
        <v>60.980810234541579</v>
      </c>
    </row>
    <row r="1410" spans="1:3" x14ac:dyDescent="0.2">
      <c r="A1410">
        <v>1408</v>
      </c>
      <c r="B1410">
        <f t="shared" si="22"/>
        <v>0</v>
      </c>
      <c r="C1410">
        <f>SUM($B$2:B1410)/A1410</f>
        <v>60.9375</v>
      </c>
    </row>
    <row r="1411" spans="1:3" x14ac:dyDescent="0.2">
      <c r="A1411">
        <v>1409</v>
      </c>
      <c r="B1411">
        <f t="shared" si="22"/>
        <v>0</v>
      </c>
      <c r="C1411">
        <f>SUM($B$2:B1411)/A1411</f>
        <v>60.894251242015613</v>
      </c>
    </row>
    <row r="1412" spans="1:3" x14ac:dyDescent="0.2">
      <c r="A1412">
        <v>1410</v>
      </c>
      <c r="B1412">
        <f t="shared" si="22"/>
        <v>0</v>
      </c>
      <c r="C1412">
        <f>SUM($B$2:B1412)/A1412</f>
        <v>60.851063829787236</v>
      </c>
    </row>
    <row r="1413" spans="1:3" x14ac:dyDescent="0.2">
      <c r="A1413">
        <v>1411</v>
      </c>
      <c r="B1413">
        <f t="shared" ref="B1413:B1476" si="23">IF((A1412-IF(A1412+1/120&gt;1,ROUNDDOWN(A1412/120,0)*120,0))/20&lt;1,ROUNDDOWN((A1412-120*ROUNDDOWN(A1412/120,0))/2,0)*65+65,0)</f>
        <v>0</v>
      </c>
      <c r="C1413">
        <f>SUM($B$2:B1413)/A1413</f>
        <v>60.807937632884482</v>
      </c>
    </row>
    <row r="1414" spans="1:3" x14ac:dyDescent="0.2">
      <c r="A1414">
        <v>1412</v>
      </c>
      <c r="B1414">
        <f t="shared" si="23"/>
        <v>0</v>
      </c>
      <c r="C1414">
        <f>SUM($B$2:B1414)/A1414</f>
        <v>60.76487252124646</v>
      </c>
    </row>
    <row r="1415" spans="1:3" x14ac:dyDescent="0.2">
      <c r="A1415">
        <v>1413</v>
      </c>
      <c r="B1415">
        <f t="shared" si="23"/>
        <v>0</v>
      </c>
      <c r="C1415">
        <f>SUM($B$2:B1415)/A1415</f>
        <v>60.72186836518047</v>
      </c>
    </row>
    <row r="1416" spans="1:3" x14ac:dyDescent="0.2">
      <c r="A1416">
        <v>1414</v>
      </c>
      <c r="B1416">
        <f t="shared" si="23"/>
        <v>0</v>
      </c>
      <c r="C1416">
        <f>SUM($B$2:B1416)/A1416</f>
        <v>60.678925035360677</v>
      </c>
    </row>
    <row r="1417" spans="1:3" x14ac:dyDescent="0.2">
      <c r="A1417">
        <v>1415</v>
      </c>
      <c r="B1417">
        <f t="shared" si="23"/>
        <v>0</v>
      </c>
      <c r="C1417">
        <f>SUM($B$2:B1417)/A1417</f>
        <v>60.636042402826853</v>
      </c>
    </row>
    <row r="1418" spans="1:3" x14ac:dyDescent="0.2">
      <c r="A1418">
        <v>1416</v>
      </c>
      <c r="B1418">
        <f t="shared" si="23"/>
        <v>0</v>
      </c>
      <c r="C1418">
        <f>SUM($B$2:B1418)/A1418</f>
        <v>60.593220338983052</v>
      </c>
    </row>
    <row r="1419" spans="1:3" x14ac:dyDescent="0.2">
      <c r="A1419">
        <v>1417</v>
      </c>
      <c r="B1419">
        <f t="shared" si="23"/>
        <v>0</v>
      </c>
      <c r="C1419">
        <f>SUM($B$2:B1419)/A1419</f>
        <v>60.550458715596328</v>
      </c>
    </row>
    <row r="1420" spans="1:3" x14ac:dyDescent="0.2">
      <c r="A1420">
        <v>1418</v>
      </c>
      <c r="B1420">
        <f t="shared" si="23"/>
        <v>0</v>
      </c>
      <c r="C1420">
        <f>SUM($B$2:B1420)/A1420</f>
        <v>60.507757404795484</v>
      </c>
    </row>
    <row r="1421" spans="1:3" x14ac:dyDescent="0.2">
      <c r="A1421">
        <v>1419</v>
      </c>
      <c r="B1421">
        <f t="shared" si="23"/>
        <v>0</v>
      </c>
      <c r="C1421">
        <f>SUM($B$2:B1421)/A1421</f>
        <v>60.465116279069768</v>
      </c>
    </row>
    <row r="1422" spans="1:3" x14ac:dyDescent="0.2">
      <c r="A1422">
        <v>1420</v>
      </c>
      <c r="B1422">
        <f t="shared" si="23"/>
        <v>0</v>
      </c>
      <c r="C1422">
        <f>SUM($B$2:B1422)/A1422</f>
        <v>60.422535211267608</v>
      </c>
    </row>
    <row r="1423" spans="1:3" x14ac:dyDescent="0.2">
      <c r="A1423">
        <v>1421</v>
      </c>
      <c r="B1423">
        <f t="shared" si="23"/>
        <v>0</v>
      </c>
      <c r="C1423">
        <f>SUM($B$2:B1423)/A1423</f>
        <v>60.380014074595358</v>
      </c>
    </row>
    <row r="1424" spans="1:3" x14ac:dyDescent="0.2">
      <c r="A1424">
        <v>1422</v>
      </c>
      <c r="B1424">
        <f t="shared" si="23"/>
        <v>0</v>
      </c>
      <c r="C1424">
        <f>SUM($B$2:B1424)/A1424</f>
        <v>60.337552742616033</v>
      </c>
    </row>
    <row r="1425" spans="1:3" x14ac:dyDescent="0.2">
      <c r="A1425">
        <v>1423</v>
      </c>
      <c r="B1425">
        <f t="shared" si="23"/>
        <v>0</v>
      </c>
      <c r="C1425">
        <f>SUM($B$2:B1425)/A1425</f>
        <v>60.295151089248066</v>
      </c>
    </row>
    <row r="1426" spans="1:3" x14ac:dyDescent="0.2">
      <c r="A1426">
        <v>1424</v>
      </c>
      <c r="B1426">
        <f t="shared" si="23"/>
        <v>0</v>
      </c>
      <c r="C1426">
        <f>SUM($B$2:B1426)/A1426</f>
        <v>60.252808988764045</v>
      </c>
    </row>
    <row r="1427" spans="1:3" x14ac:dyDescent="0.2">
      <c r="A1427">
        <v>1425</v>
      </c>
      <c r="B1427">
        <f t="shared" si="23"/>
        <v>0</v>
      </c>
      <c r="C1427">
        <f>SUM($B$2:B1427)/A1427</f>
        <v>60.210526315789473</v>
      </c>
    </row>
    <row r="1428" spans="1:3" x14ac:dyDescent="0.2">
      <c r="A1428">
        <v>1426</v>
      </c>
      <c r="B1428">
        <f t="shared" si="23"/>
        <v>0</v>
      </c>
      <c r="C1428">
        <f>SUM($B$2:B1428)/A1428</f>
        <v>60.168302945301541</v>
      </c>
    </row>
    <row r="1429" spans="1:3" x14ac:dyDescent="0.2">
      <c r="A1429">
        <v>1427</v>
      </c>
      <c r="B1429">
        <f t="shared" si="23"/>
        <v>0</v>
      </c>
      <c r="C1429">
        <f>SUM($B$2:B1429)/A1429</f>
        <v>60.126138752627888</v>
      </c>
    </row>
    <row r="1430" spans="1:3" x14ac:dyDescent="0.2">
      <c r="A1430">
        <v>1428</v>
      </c>
      <c r="B1430">
        <f t="shared" si="23"/>
        <v>0</v>
      </c>
      <c r="C1430">
        <f>SUM($B$2:B1430)/A1430</f>
        <v>60.084033613445378</v>
      </c>
    </row>
    <row r="1431" spans="1:3" x14ac:dyDescent="0.2">
      <c r="A1431">
        <v>1429</v>
      </c>
      <c r="B1431">
        <f t="shared" si="23"/>
        <v>0</v>
      </c>
      <c r="C1431">
        <f>SUM($B$2:B1431)/A1431</f>
        <v>60.041987403778869</v>
      </c>
    </row>
    <row r="1432" spans="1:3" x14ac:dyDescent="0.2">
      <c r="A1432">
        <v>1430</v>
      </c>
      <c r="B1432">
        <f t="shared" si="23"/>
        <v>0</v>
      </c>
      <c r="C1432">
        <f>SUM($B$2:B1432)/A1432</f>
        <v>60</v>
      </c>
    </row>
    <row r="1433" spans="1:3" x14ac:dyDescent="0.2">
      <c r="A1433">
        <v>1431</v>
      </c>
      <c r="B1433">
        <f t="shared" si="23"/>
        <v>0</v>
      </c>
      <c r="C1433">
        <f>SUM($B$2:B1433)/A1433</f>
        <v>59.958071278825997</v>
      </c>
    </row>
    <row r="1434" spans="1:3" x14ac:dyDescent="0.2">
      <c r="A1434">
        <v>1432</v>
      </c>
      <c r="B1434">
        <f t="shared" si="23"/>
        <v>0</v>
      </c>
      <c r="C1434">
        <f>SUM($B$2:B1434)/A1434</f>
        <v>59.916201117318437</v>
      </c>
    </row>
    <row r="1435" spans="1:3" x14ac:dyDescent="0.2">
      <c r="A1435">
        <v>1433</v>
      </c>
      <c r="B1435">
        <f t="shared" si="23"/>
        <v>0</v>
      </c>
      <c r="C1435">
        <f>SUM($B$2:B1435)/A1435</f>
        <v>59.874389392882065</v>
      </c>
    </row>
    <row r="1436" spans="1:3" x14ac:dyDescent="0.2">
      <c r="A1436">
        <v>1434</v>
      </c>
      <c r="B1436">
        <f t="shared" si="23"/>
        <v>0</v>
      </c>
      <c r="C1436">
        <f>SUM($B$2:B1436)/A1436</f>
        <v>59.8326359832636</v>
      </c>
    </row>
    <row r="1437" spans="1:3" x14ac:dyDescent="0.2">
      <c r="A1437">
        <v>1435</v>
      </c>
      <c r="B1437">
        <f t="shared" si="23"/>
        <v>0</v>
      </c>
      <c r="C1437">
        <f>SUM($B$2:B1437)/A1437</f>
        <v>59.79094076655052</v>
      </c>
    </row>
    <row r="1438" spans="1:3" x14ac:dyDescent="0.2">
      <c r="A1438">
        <v>1436</v>
      </c>
      <c r="B1438">
        <f t="shared" si="23"/>
        <v>0</v>
      </c>
      <c r="C1438">
        <f>SUM($B$2:B1438)/A1438</f>
        <v>59.749303621169915</v>
      </c>
    </row>
    <row r="1439" spans="1:3" x14ac:dyDescent="0.2">
      <c r="A1439">
        <v>1437</v>
      </c>
      <c r="B1439">
        <f t="shared" si="23"/>
        <v>0</v>
      </c>
      <c r="C1439">
        <f>SUM($B$2:B1439)/A1439</f>
        <v>59.707724425887264</v>
      </c>
    </row>
    <row r="1440" spans="1:3" x14ac:dyDescent="0.2">
      <c r="A1440">
        <v>1438</v>
      </c>
      <c r="B1440">
        <f t="shared" si="23"/>
        <v>0</v>
      </c>
      <c r="C1440">
        <f>SUM($B$2:B1440)/A1440</f>
        <v>59.666203059805284</v>
      </c>
    </row>
    <row r="1441" spans="1:3" x14ac:dyDescent="0.2">
      <c r="A1441">
        <v>1439</v>
      </c>
      <c r="B1441">
        <f t="shared" si="23"/>
        <v>0</v>
      </c>
      <c r="C1441">
        <f>SUM($B$2:B1441)/A1441</f>
        <v>59.624739402362749</v>
      </c>
    </row>
    <row r="1442" spans="1:3" x14ac:dyDescent="0.2">
      <c r="A1442">
        <v>1440</v>
      </c>
      <c r="B1442">
        <f t="shared" si="23"/>
        <v>0</v>
      </c>
      <c r="C1442">
        <f>SUM($B$2:B1442)/A1442</f>
        <v>59.583333333333336</v>
      </c>
    </row>
    <row r="1443" spans="1:3" x14ac:dyDescent="0.2">
      <c r="A1443">
        <v>1441</v>
      </c>
      <c r="B1443">
        <f t="shared" si="23"/>
        <v>65</v>
      </c>
      <c r="C1443">
        <f>SUM($B$2:B1443)/A1443</f>
        <v>59.587092297015964</v>
      </c>
    </row>
    <row r="1444" spans="1:3" x14ac:dyDescent="0.2">
      <c r="A1444">
        <v>1442</v>
      </c>
      <c r="B1444">
        <f t="shared" si="23"/>
        <v>65</v>
      </c>
      <c r="C1444">
        <f>SUM($B$2:B1444)/A1444</f>
        <v>59.590846047156724</v>
      </c>
    </row>
    <row r="1445" spans="1:3" x14ac:dyDescent="0.2">
      <c r="A1445">
        <v>1443</v>
      </c>
      <c r="B1445">
        <f t="shared" si="23"/>
        <v>130</v>
      </c>
      <c r="C1445">
        <f>SUM($B$2:B1445)/A1445</f>
        <v>59.63963963963964</v>
      </c>
    </row>
    <row r="1446" spans="1:3" x14ac:dyDescent="0.2">
      <c r="A1446">
        <v>1444</v>
      </c>
      <c r="B1446">
        <f t="shared" si="23"/>
        <v>130</v>
      </c>
      <c r="C1446">
        <f>SUM($B$2:B1446)/A1446</f>
        <v>59.68836565096953</v>
      </c>
    </row>
    <row r="1447" spans="1:3" x14ac:dyDescent="0.2">
      <c r="A1447">
        <v>1445</v>
      </c>
      <c r="B1447">
        <f t="shared" si="23"/>
        <v>195</v>
      </c>
      <c r="C1447">
        <f>SUM($B$2:B1447)/A1447</f>
        <v>59.782006920415228</v>
      </c>
    </row>
    <row r="1448" spans="1:3" x14ac:dyDescent="0.2">
      <c r="A1448">
        <v>1446</v>
      </c>
      <c r="B1448">
        <f t="shared" si="23"/>
        <v>195</v>
      </c>
      <c r="C1448">
        <f>SUM($B$2:B1448)/A1448</f>
        <v>59.875518672199171</v>
      </c>
    </row>
    <row r="1449" spans="1:3" x14ac:dyDescent="0.2">
      <c r="A1449">
        <v>1447</v>
      </c>
      <c r="B1449">
        <f t="shared" si="23"/>
        <v>260</v>
      </c>
      <c r="C1449">
        <f>SUM($B$2:B1449)/A1449</f>
        <v>60.013821700069109</v>
      </c>
    </row>
    <row r="1450" spans="1:3" x14ac:dyDescent="0.2">
      <c r="A1450">
        <v>1448</v>
      </c>
      <c r="B1450">
        <f t="shared" si="23"/>
        <v>260</v>
      </c>
      <c r="C1450">
        <f>SUM($B$2:B1450)/A1450</f>
        <v>60.151933701657455</v>
      </c>
    </row>
    <row r="1451" spans="1:3" x14ac:dyDescent="0.2">
      <c r="A1451">
        <v>1449</v>
      </c>
      <c r="B1451">
        <f t="shared" si="23"/>
        <v>325</v>
      </c>
      <c r="C1451">
        <f>SUM($B$2:B1451)/A1451</f>
        <v>60.33471359558316</v>
      </c>
    </row>
    <row r="1452" spans="1:3" x14ac:dyDescent="0.2">
      <c r="A1452">
        <v>1450</v>
      </c>
      <c r="B1452">
        <f t="shared" si="23"/>
        <v>325</v>
      </c>
      <c r="C1452">
        <f>SUM($B$2:B1452)/A1452</f>
        <v>60.517241379310342</v>
      </c>
    </row>
    <row r="1453" spans="1:3" x14ac:dyDescent="0.2">
      <c r="A1453">
        <v>1451</v>
      </c>
      <c r="B1453">
        <f t="shared" si="23"/>
        <v>390</v>
      </c>
      <c r="C1453">
        <f>SUM($B$2:B1453)/A1453</f>
        <v>60.74431426602343</v>
      </c>
    </row>
    <row r="1454" spans="1:3" x14ac:dyDescent="0.2">
      <c r="A1454">
        <v>1452</v>
      </c>
      <c r="B1454">
        <f t="shared" si="23"/>
        <v>390</v>
      </c>
      <c r="C1454">
        <f>SUM($B$2:B1454)/A1454</f>
        <v>60.971074380165291</v>
      </c>
    </row>
    <row r="1455" spans="1:3" x14ac:dyDescent="0.2">
      <c r="A1455">
        <v>1453</v>
      </c>
      <c r="B1455">
        <f t="shared" si="23"/>
        <v>455</v>
      </c>
      <c r="C1455">
        <f>SUM($B$2:B1455)/A1455</f>
        <v>61.24225739848589</v>
      </c>
    </row>
    <row r="1456" spans="1:3" x14ac:dyDescent="0.2">
      <c r="A1456">
        <v>1454</v>
      </c>
      <c r="B1456">
        <f t="shared" si="23"/>
        <v>455</v>
      </c>
      <c r="C1456">
        <f>SUM($B$2:B1456)/A1456</f>
        <v>61.513067400275105</v>
      </c>
    </row>
    <row r="1457" spans="1:3" x14ac:dyDescent="0.2">
      <c r="A1457">
        <v>1455</v>
      </c>
      <c r="B1457">
        <f t="shared" si="23"/>
        <v>520</v>
      </c>
      <c r="C1457">
        <f>SUM($B$2:B1457)/A1457</f>
        <v>61.828178694158076</v>
      </c>
    </row>
    <row r="1458" spans="1:3" x14ac:dyDescent="0.2">
      <c r="A1458">
        <v>1456</v>
      </c>
      <c r="B1458">
        <f t="shared" si="23"/>
        <v>520</v>
      </c>
      <c r="C1458">
        <f>SUM($B$2:B1458)/A1458</f>
        <v>62.142857142857146</v>
      </c>
    </row>
    <row r="1459" spans="1:3" x14ac:dyDescent="0.2">
      <c r="A1459">
        <v>1457</v>
      </c>
      <c r="B1459">
        <f t="shared" si="23"/>
        <v>585</v>
      </c>
      <c r="C1459">
        <f>SUM($B$2:B1459)/A1459</f>
        <v>62.501715854495536</v>
      </c>
    </row>
    <row r="1460" spans="1:3" x14ac:dyDescent="0.2">
      <c r="A1460">
        <v>1458</v>
      </c>
      <c r="B1460">
        <f t="shared" si="23"/>
        <v>585</v>
      </c>
      <c r="C1460">
        <f>SUM($B$2:B1460)/A1460</f>
        <v>62.860082304526749</v>
      </c>
    </row>
    <row r="1461" spans="1:3" x14ac:dyDescent="0.2">
      <c r="A1461">
        <v>1459</v>
      </c>
      <c r="B1461">
        <f t="shared" si="23"/>
        <v>650</v>
      </c>
      <c r="C1461">
        <f>SUM($B$2:B1461)/A1461</f>
        <v>63.262508567511993</v>
      </c>
    </row>
    <row r="1462" spans="1:3" x14ac:dyDescent="0.2">
      <c r="A1462">
        <v>1460</v>
      </c>
      <c r="B1462">
        <f t="shared" si="23"/>
        <v>650</v>
      </c>
      <c r="C1462">
        <f>SUM($B$2:B1462)/A1462</f>
        <v>63.664383561643838</v>
      </c>
    </row>
    <row r="1463" spans="1:3" x14ac:dyDescent="0.2">
      <c r="A1463">
        <v>1461</v>
      </c>
      <c r="B1463">
        <f t="shared" si="23"/>
        <v>0</v>
      </c>
      <c r="C1463">
        <f>SUM($B$2:B1463)/A1463</f>
        <v>63.620807665982205</v>
      </c>
    </row>
    <row r="1464" spans="1:3" x14ac:dyDescent="0.2">
      <c r="A1464">
        <v>1462</v>
      </c>
      <c r="B1464">
        <f t="shared" si="23"/>
        <v>0</v>
      </c>
      <c r="C1464">
        <f>SUM($B$2:B1464)/A1464</f>
        <v>63.57729138166895</v>
      </c>
    </row>
    <row r="1465" spans="1:3" x14ac:dyDescent="0.2">
      <c r="A1465">
        <v>1463</v>
      </c>
      <c r="B1465">
        <f t="shared" si="23"/>
        <v>0</v>
      </c>
      <c r="C1465">
        <f>SUM($B$2:B1465)/A1465</f>
        <v>63.533834586466163</v>
      </c>
    </row>
    <row r="1466" spans="1:3" x14ac:dyDescent="0.2">
      <c r="A1466">
        <v>1464</v>
      </c>
      <c r="B1466">
        <f t="shared" si="23"/>
        <v>0</v>
      </c>
      <c r="C1466">
        <f>SUM($B$2:B1466)/A1466</f>
        <v>63.490437158469945</v>
      </c>
    </row>
    <row r="1467" spans="1:3" x14ac:dyDescent="0.2">
      <c r="A1467">
        <v>1465</v>
      </c>
      <c r="B1467">
        <f t="shared" si="23"/>
        <v>0</v>
      </c>
      <c r="C1467">
        <f>SUM($B$2:B1467)/A1467</f>
        <v>63.447098976109217</v>
      </c>
    </row>
    <row r="1468" spans="1:3" x14ac:dyDescent="0.2">
      <c r="A1468">
        <v>1466</v>
      </c>
      <c r="B1468">
        <f t="shared" si="23"/>
        <v>0</v>
      </c>
      <c r="C1468">
        <f>SUM($B$2:B1468)/A1468</f>
        <v>63.403819918144613</v>
      </c>
    </row>
    <row r="1469" spans="1:3" x14ac:dyDescent="0.2">
      <c r="A1469">
        <v>1467</v>
      </c>
      <c r="B1469">
        <f t="shared" si="23"/>
        <v>0</v>
      </c>
      <c r="C1469">
        <f>SUM($B$2:B1469)/A1469</f>
        <v>63.360599863667346</v>
      </c>
    </row>
    <row r="1470" spans="1:3" x14ac:dyDescent="0.2">
      <c r="A1470">
        <v>1468</v>
      </c>
      <c r="B1470">
        <f t="shared" si="23"/>
        <v>0</v>
      </c>
      <c r="C1470">
        <f>SUM($B$2:B1470)/A1470</f>
        <v>63.317438692098094</v>
      </c>
    </row>
    <row r="1471" spans="1:3" x14ac:dyDescent="0.2">
      <c r="A1471">
        <v>1469</v>
      </c>
      <c r="B1471">
        <f t="shared" si="23"/>
        <v>0</v>
      </c>
      <c r="C1471">
        <f>SUM($B$2:B1471)/A1471</f>
        <v>63.274336283185839</v>
      </c>
    </row>
    <row r="1472" spans="1:3" x14ac:dyDescent="0.2">
      <c r="A1472">
        <v>1470</v>
      </c>
      <c r="B1472">
        <f t="shared" si="23"/>
        <v>0</v>
      </c>
      <c r="C1472">
        <f>SUM($B$2:B1472)/A1472</f>
        <v>63.2312925170068</v>
      </c>
    </row>
    <row r="1473" spans="1:3" x14ac:dyDescent="0.2">
      <c r="A1473">
        <v>1471</v>
      </c>
      <c r="B1473">
        <f t="shared" si="23"/>
        <v>0</v>
      </c>
      <c r="C1473">
        <f>SUM($B$2:B1473)/A1473</f>
        <v>63.188307273963289</v>
      </c>
    </row>
    <row r="1474" spans="1:3" x14ac:dyDescent="0.2">
      <c r="A1474">
        <v>1472</v>
      </c>
      <c r="B1474">
        <f t="shared" si="23"/>
        <v>0</v>
      </c>
      <c r="C1474">
        <f>SUM($B$2:B1474)/A1474</f>
        <v>63.145380434782609</v>
      </c>
    </row>
    <row r="1475" spans="1:3" x14ac:dyDescent="0.2">
      <c r="A1475">
        <v>1473</v>
      </c>
      <c r="B1475">
        <f t="shared" si="23"/>
        <v>0</v>
      </c>
      <c r="C1475">
        <f>SUM($B$2:B1475)/A1475</f>
        <v>63.102511880515955</v>
      </c>
    </row>
    <row r="1476" spans="1:3" x14ac:dyDescent="0.2">
      <c r="A1476">
        <v>1474</v>
      </c>
      <c r="B1476">
        <f t="shared" si="23"/>
        <v>0</v>
      </c>
      <c r="C1476">
        <f>SUM($B$2:B1476)/A1476</f>
        <v>63.059701492537314</v>
      </c>
    </row>
    <row r="1477" spans="1:3" x14ac:dyDescent="0.2">
      <c r="A1477">
        <v>1475</v>
      </c>
      <c r="B1477">
        <f t="shared" ref="B1477:B1540" si="24">IF((A1476-IF(A1476+1/120&gt;1,ROUNDDOWN(A1476/120,0)*120,0))/20&lt;1,ROUNDDOWN((A1476-120*ROUNDDOWN(A1476/120,0))/2,0)*65+65,0)</f>
        <v>0</v>
      </c>
      <c r="C1477">
        <f>SUM($B$2:B1477)/A1477</f>
        <v>63.016949152542374</v>
      </c>
    </row>
    <row r="1478" spans="1:3" x14ac:dyDescent="0.2">
      <c r="A1478">
        <v>1476</v>
      </c>
      <c r="B1478">
        <f t="shared" si="24"/>
        <v>0</v>
      </c>
      <c r="C1478">
        <f>SUM($B$2:B1478)/A1478</f>
        <v>62.974254742547423</v>
      </c>
    </row>
    <row r="1479" spans="1:3" x14ac:dyDescent="0.2">
      <c r="A1479">
        <v>1477</v>
      </c>
      <c r="B1479">
        <f t="shared" si="24"/>
        <v>0</v>
      </c>
      <c r="C1479">
        <f>SUM($B$2:B1479)/A1479</f>
        <v>62.93161814488829</v>
      </c>
    </row>
    <row r="1480" spans="1:3" x14ac:dyDescent="0.2">
      <c r="A1480">
        <v>1478</v>
      </c>
      <c r="B1480">
        <f t="shared" si="24"/>
        <v>0</v>
      </c>
      <c r="C1480">
        <f>SUM($B$2:B1480)/A1480</f>
        <v>62.889039242219212</v>
      </c>
    </row>
    <row r="1481" spans="1:3" x14ac:dyDescent="0.2">
      <c r="A1481">
        <v>1479</v>
      </c>
      <c r="B1481">
        <f t="shared" si="24"/>
        <v>0</v>
      </c>
      <c r="C1481">
        <f>SUM($B$2:B1481)/A1481</f>
        <v>62.846517917511832</v>
      </c>
    </row>
    <row r="1482" spans="1:3" x14ac:dyDescent="0.2">
      <c r="A1482">
        <v>1480</v>
      </c>
      <c r="B1482">
        <f t="shared" si="24"/>
        <v>0</v>
      </c>
      <c r="C1482">
        <f>SUM($B$2:B1482)/A1482</f>
        <v>62.804054054054056</v>
      </c>
    </row>
    <row r="1483" spans="1:3" x14ac:dyDescent="0.2">
      <c r="A1483">
        <v>1481</v>
      </c>
      <c r="B1483">
        <f t="shared" si="24"/>
        <v>0</v>
      </c>
      <c r="C1483">
        <f>SUM($B$2:B1483)/A1483</f>
        <v>62.761647535449022</v>
      </c>
    </row>
    <row r="1484" spans="1:3" x14ac:dyDescent="0.2">
      <c r="A1484">
        <v>1482</v>
      </c>
      <c r="B1484">
        <f t="shared" si="24"/>
        <v>0</v>
      </c>
      <c r="C1484">
        <f>SUM($B$2:B1484)/A1484</f>
        <v>62.719298245614034</v>
      </c>
    </row>
    <row r="1485" spans="1:3" x14ac:dyDescent="0.2">
      <c r="A1485">
        <v>1483</v>
      </c>
      <c r="B1485">
        <f t="shared" si="24"/>
        <v>0</v>
      </c>
      <c r="C1485">
        <f>SUM($B$2:B1485)/A1485</f>
        <v>62.677006068779498</v>
      </c>
    </row>
    <row r="1486" spans="1:3" x14ac:dyDescent="0.2">
      <c r="A1486">
        <v>1484</v>
      </c>
      <c r="B1486">
        <f t="shared" si="24"/>
        <v>0</v>
      </c>
      <c r="C1486">
        <f>SUM($B$2:B1486)/A1486</f>
        <v>62.634770889487868</v>
      </c>
    </row>
    <row r="1487" spans="1:3" x14ac:dyDescent="0.2">
      <c r="A1487">
        <v>1485</v>
      </c>
      <c r="B1487">
        <f t="shared" si="24"/>
        <v>0</v>
      </c>
      <c r="C1487">
        <f>SUM($B$2:B1487)/A1487</f>
        <v>62.592592592592595</v>
      </c>
    </row>
    <row r="1488" spans="1:3" x14ac:dyDescent="0.2">
      <c r="A1488">
        <v>1486</v>
      </c>
      <c r="B1488">
        <f t="shared" si="24"/>
        <v>0</v>
      </c>
      <c r="C1488">
        <f>SUM($B$2:B1488)/A1488</f>
        <v>62.550471063257064</v>
      </c>
    </row>
    <row r="1489" spans="1:3" x14ac:dyDescent="0.2">
      <c r="A1489">
        <v>1487</v>
      </c>
      <c r="B1489">
        <f t="shared" si="24"/>
        <v>0</v>
      </c>
      <c r="C1489">
        <f>SUM($B$2:B1489)/A1489</f>
        <v>62.5084061869536</v>
      </c>
    </row>
    <row r="1490" spans="1:3" x14ac:dyDescent="0.2">
      <c r="A1490">
        <v>1488</v>
      </c>
      <c r="B1490">
        <f t="shared" si="24"/>
        <v>0</v>
      </c>
      <c r="C1490">
        <f>SUM($B$2:B1490)/A1490</f>
        <v>62.466397849462368</v>
      </c>
    </row>
    <row r="1491" spans="1:3" x14ac:dyDescent="0.2">
      <c r="A1491">
        <v>1489</v>
      </c>
      <c r="B1491">
        <f t="shared" si="24"/>
        <v>0</v>
      </c>
      <c r="C1491">
        <f>SUM($B$2:B1491)/A1491</f>
        <v>62.424445936870384</v>
      </c>
    </row>
    <row r="1492" spans="1:3" x14ac:dyDescent="0.2">
      <c r="A1492">
        <v>1490</v>
      </c>
      <c r="B1492">
        <f t="shared" si="24"/>
        <v>0</v>
      </c>
      <c r="C1492">
        <f>SUM($B$2:B1492)/A1492</f>
        <v>62.382550335570471</v>
      </c>
    </row>
    <row r="1493" spans="1:3" x14ac:dyDescent="0.2">
      <c r="A1493">
        <v>1491</v>
      </c>
      <c r="B1493">
        <f t="shared" si="24"/>
        <v>0</v>
      </c>
      <c r="C1493">
        <f>SUM($B$2:B1493)/A1493</f>
        <v>62.34071093226023</v>
      </c>
    </row>
    <row r="1494" spans="1:3" x14ac:dyDescent="0.2">
      <c r="A1494">
        <v>1492</v>
      </c>
      <c r="B1494">
        <f t="shared" si="24"/>
        <v>0</v>
      </c>
      <c r="C1494">
        <f>SUM($B$2:B1494)/A1494</f>
        <v>62.298927613941018</v>
      </c>
    </row>
    <row r="1495" spans="1:3" x14ac:dyDescent="0.2">
      <c r="A1495">
        <v>1493</v>
      </c>
      <c r="B1495">
        <f t="shared" si="24"/>
        <v>0</v>
      </c>
      <c r="C1495">
        <f>SUM($B$2:B1495)/A1495</f>
        <v>62.257200267916943</v>
      </c>
    </row>
    <row r="1496" spans="1:3" x14ac:dyDescent="0.2">
      <c r="A1496">
        <v>1494</v>
      </c>
      <c r="B1496">
        <f t="shared" si="24"/>
        <v>0</v>
      </c>
      <c r="C1496">
        <f>SUM($B$2:B1496)/A1496</f>
        <v>62.215528781793843</v>
      </c>
    </row>
    <row r="1497" spans="1:3" x14ac:dyDescent="0.2">
      <c r="A1497">
        <v>1495</v>
      </c>
      <c r="B1497">
        <f t="shared" si="24"/>
        <v>0</v>
      </c>
      <c r="C1497">
        <f>SUM($B$2:B1497)/A1497</f>
        <v>62.173913043478258</v>
      </c>
    </row>
    <row r="1498" spans="1:3" x14ac:dyDescent="0.2">
      <c r="A1498">
        <v>1496</v>
      </c>
      <c r="B1498">
        <f t="shared" si="24"/>
        <v>0</v>
      </c>
      <c r="C1498">
        <f>SUM($B$2:B1498)/A1498</f>
        <v>62.132352941176471</v>
      </c>
    </row>
    <row r="1499" spans="1:3" x14ac:dyDescent="0.2">
      <c r="A1499">
        <v>1497</v>
      </c>
      <c r="B1499">
        <f t="shared" si="24"/>
        <v>0</v>
      </c>
      <c r="C1499">
        <f>SUM($B$2:B1499)/A1499</f>
        <v>62.090848363393455</v>
      </c>
    </row>
    <row r="1500" spans="1:3" x14ac:dyDescent="0.2">
      <c r="A1500">
        <v>1498</v>
      </c>
      <c r="B1500">
        <f t="shared" si="24"/>
        <v>0</v>
      </c>
      <c r="C1500">
        <f>SUM($B$2:B1500)/A1500</f>
        <v>62.049399198931908</v>
      </c>
    </row>
    <row r="1501" spans="1:3" x14ac:dyDescent="0.2">
      <c r="A1501">
        <v>1499</v>
      </c>
      <c r="B1501">
        <f t="shared" si="24"/>
        <v>0</v>
      </c>
      <c r="C1501">
        <f>SUM($B$2:B1501)/A1501</f>
        <v>62.008005336891259</v>
      </c>
    </row>
    <row r="1502" spans="1:3" x14ac:dyDescent="0.2">
      <c r="A1502">
        <v>1500</v>
      </c>
      <c r="B1502">
        <f t="shared" si="24"/>
        <v>0</v>
      </c>
      <c r="C1502">
        <f>SUM($B$2:B1502)/A1502</f>
        <v>61.966666666666669</v>
      </c>
    </row>
    <row r="1503" spans="1:3" x14ac:dyDescent="0.2">
      <c r="A1503">
        <v>1501</v>
      </c>
      <c r="B1503">
        <f t="shared" si="24"/>
        <v>0</v>
      </c>
      <c r="C1503">
        <f>SUM($B$2:B1503)/A1503</f>
        <v>61.925383077948034</v>
      </c>
    </row>
    <row r="1504" spans="1:3" x14ac:dyDescent="0.2">
      <c r="A1504">
        <v>1502</v>
      </c>
      <c r="B1504">
        <f t="shared" si="24"/>
        <v>0</v>
      </c>
      <c r="C1504">
        <f>SUM($B$2:B1504)/A1504</f>
        <v>61.884154460719039</v>
      </c>
    </row>
    <row r="1505" spans="1:3" x14ac:dyDescent="0.2">
      <c r="A1505">
        <v>1503</v>
      </c>
      <c r="B1505">
        <f t="shared" si="24"/>
        <v>0</v>
      </c>
      <c r="C1505">
        <f>SUM($B$2:B1505)/A1505</f>
        <v>61.842980705256153</v>
      </c>
    </row>
    <row r="1506" spans="1:3" x14ac:dyDescent="0.2">
      <c r="A1506">
        <v>1504</v>
      </c>
      <c r="B1506">
        <f t="shared" si="24"/>
        <v>0</v>
      </c>
      <c r="C1506">
        <f>SUM($B$2:B1506)/A1506</f>
        <v>61.80186170212766</v>
      </c>
    </row>
    <row r="1507" spans="1:3" x14ac:dyDescent="0.2">
      <c r="A1507">
        <v>1505</v>
      </c>
      <c r="B1507">
        <f t="shared" si="24"/>
        <v>0</v>
      </c>
      <c r="C1507">
        <f>SUM($B$2:B1507)/A1507</f>
        <v>61.760797342192689</v>
      </c>
    </row>
    <row r="1508" spans="1:3" x14ac:dyDescent="0.2">
      <c r="A1508">
        <v>1506</v>
      </c>
      <c r="B1508">
        <f t="shared" si="24"/>
        <v>0</v>
      </c>
      <c r="C1508">
        <f>SUM($B$2:B1508)/A1508</f>
        <v>61.719787516600263</v>
      </c>
    </row>
    <row r="1509" spans="1:3" x14ac:dyDescent="0.2">
      <c r="A1509">
        <v>1507</v>
      </c>
      <c r="B1509">
        <f t="shared" si="24"/>
        <v>0</v>
      </c>
      <c r="C1509">
        <f>SUM($B$2:B1509)/A1509</f>
        <v>61.678832116788321</v>
      </c>
    </row>
    <row r="1510" spans="1:3" x14ac:dyDescent="0.2">
      <c r="A1510">
        <v>1508</v>
      </c>
      <c r="B1510">
        <f t="shared" si="24"/>
        <v>0</v>
      </c>
      <c r="C1510">
        <f>SUM($B$2:B1510)/A1510</f>
        <v>61.637931034482762</v>
      </c>
    </row>
    <row r="1511" spans="1:3" x14ac:dyDescent="0.2">
      <c r="A1511">
        <v>1509</v>
      </c>
      <c r="B1511">
        <f t="shared" si="24"/>
        <v>0</v>
      </c>
      <c r="C1511">
        <f>SUM($B$2:B1511)/A1511</f>
        <v>61.597084161696486</v>
      </c>
    </row>
    <row r="1512" spans="1:3" x14ac:dyDescent="0.2">
      <c r="A1512">
        <v>1510</v>
      </c>
      <c r="B1512">
        <f t="shared" si="24"/>
        <v>0</v>
      </c>
      <c r="C1512">
        <f>SUM($B$2:B1512)/A1512</f>
        <v>61.556291390728475</v>
      </c>
    </row>
    <row r="1513" spans="1:3" x14ac:dyDescent="0.2">
      <c r="A1513">
        <v>1511</v>
      </c>
      <c r="B1513">
        <f t="shared" si="24"/>
        <v>0</v>
      </c>
      <c r="C1513">
        <f>SUM($B$2:B1513)/A1513</f>
        <v>61.515552614162807</v>
      </c>
    </row>
    <row r="1514" spans="1:3" x14ac:dyDescent="0.2">
      <c r="A1514">
        <v>1512</v>
      </c>
      <c r="B1514">
        <f t="shared" si="24"/>
        <v>0</v>
      </c>
      <c r="C1514">
        <f>SUM($B$2:B1514)/A1514</f>
        <v>61.474867724867728</v>
      </c>
    </row>
    <row r="1515" spans="1:3" x14ac:dyDescent="0.2">
      <c r="A1515">
        <v>1513</v>
      </c>
      <c r="B1515">
        <f t="shared" si="24"/>
        <v>0</v>
      </c>
      <c r="C1515">
        <f>SUM($B$2:B1515)/A1515</f>
        <v>61.434236615994713</v>
      </c>
    </row>
    <row r="1516" spans="1:3" x14ac:dyDescent="0.2">
      <c r="A1516">
        <v>1514</v>
      </c>
      <c r="B1516">
        <f t="shared" si="24"/>
        <v>0</v>
      </c>
      <c r="C1516">
        <f>SUM($B$2:B1516)/A1516</f>
        <v>61.393659180977544</v>
      </c>
    </row>
    <row r="1517" spans="1:3" x14ac:dyDescent="0.2">
      <c r="A1517">
        <v>1515</v>
      </c>
      <c r="B1517">
        <f t="shared" si="24"/>
        <v>0</v>
      </c>
      <c r="C1517">
        <f>SUM($B$2:B1517)/A1517</f>
        <v>61.353135313531354</v>
      </c>
    </row>
    <row r="1518" spans="1:3" x14ac:dyDescent="0.2">
      <c r="A1518">
        <v>1516</v>
      </c>
      <c r="B1518">
        <f t="shared" si="24"/>
        <v>0</v>
      </c>
      <c r="C1518">
        <f>SUM($B$2:B1518)/A1518</f>
        <v>61.312664907651715</v>
      </c>
    </row>
    <row r="1519" spans="1:3" x14ac:dyDescent="0.2">
      <c r="A1519">
        <v>1517</v>
      </c>
      <c r="B1519">
        <f t="shared" si="24"/>
        <v>0</v>
      </c>
      <c r="C1519">
        <f>SUM($B$2:B1519)/A1519</f>
        <v>61.272247857613714</v>
      </c>
    </row>
    <row r="1520" spans="1:3" x14ac:dyDescent="0.2">
      <c r="A1520">
        <v>1518</v>
      </c>
      <c r="B1520">
        <f t="shared" si="24"/>
        <v>0</v>
      </c>
      <c r="C1520">
        <f>SUM($B$2:B1520)/A1520</f>
        <v>61.231884057971016</v>
      </c>
    </row>
    <row r="1521" spans="1:3" x14ac:dyDescent="0.2">
      <c r="A1521">
        <v>1519</v>
      </c>
      <c r="B1521">
        <f t="shared" si="24"/>
        <v>0</v>
      </c>
      <c r="C1521">
        <f>SUM($B$2:B1521)/A1521</f>
        <v>61.191573403554969</v>
      </c>
    </row>
    <row r="1522" spans="1:3" x14ac:dyDescent="0.2">
      <c r="A1522">
        <v>1520</v>
      </c>
      <c r="B1522">
        <f t="shared" si="24"/>
        <v>0</v>
      </c>
      <c r="C1522">
        <f>SUM($B$2:B1522)/A1522</f>
        <v>61.151315789473685</v>
      </c>
    </row>
    <row r="1523" spans="1:3" x14ac:dyDescent="0.2">
      <c r="A1523">
        <v>1521</v>
      </c>
      <c r="B1523">
        <f t="shared" si="24"/>
        <v>0</v>
      </c>
      <c r="C1523">
        <f>SUM($B$2:B1523)/A1523</f>
        <v>61.111111111111114</v>
      </c>
    </row>
    <row r="1524" spans="1:3" x14ac:dyDescent="0.2">
      <c r="A1524">
        <v>1522</v>
      </c>
      <c r="B1524">
        <f t="shared" si="24"/>
        <v>0</v>
      </c>
      <c r="C1524">
        <f>SUM($B$2:B1524)/A1524</f>
        <v>61.070959264126152</v>
      </c>
    </row>
    <row r="1525" spans="1:3" x14ac:dyDescent="0.2">
      <c r="A1525">
        <v>1523</v>
      </c>
      <c r="B1525">
        <f t="shared" si="24"/>
        <v>0</v>
      </c>
      <c r="C1525">
        <f>SUM($B$2:B1525)/A1525</f>
        <v>61.030860144451736</v>
      </c>
    </row>
    <row r="1526" spans="1:3" x14ac:dyDescent="0.2">
      <c r="A1526">
        <v>1524</v>
      </c>
      <c r="B1526">
        <f t="shared" si="24"/>
        <v>0</v>
      </c>
      <c r="C1526">
        <f>SUM($B$2:B1526)/A1526</f>
        <v>60.990813648293965</v>
      </c>
    </row>
    <row r="1527" spans="1:3" x14ac:dyDescent="0.2">
      <c r="A1527">
        <v>1525</v>
      </c>
      <c r="B1527">
        <f t="shared" si="24"/>
        <v>0</v>
      </c>
      <c r="C1527">
        <f>SUM($B$2:B1527)/A1527</f>
        <v>60.950819672131146</v>
      </c>
    </row>
    <row r="1528" spans="1:3" x14ac:dyDescent="0.2">
      <c r="A1528">
        <v>1526</v>
      </c>
      <c r="B1528">
        <f t="shared" si="24"/>
        <v>0</v>
      </c>
      <c r="C1528">
        <f>SUM($B$2:B1528)/A1528</f>
        <v>60.910878112712972</v>
      </c>
    </row>
    <row r="1529" spans="1:3" x14ac:dyDescent="0.2">
      <c r="A1529">
        <v>1527</v>
      </c>
      <c r="B1529">
        <f t="shared" si="24"/>
        <v>0</v>
      </c>
      <c r="C1529">
        <f>SUM($B$2:B1529)/A1529</f>
        <v>60.870988867059594</v>
      </c>
    </row>
    <row r="1530" spans="1:3" x14ac:dyDescent="0.2">
      <c r="A1530">
        <v>1528</v>
      </c>
      <c r="B1530">
        <f t="shared" si="24"/>
        <v>0</v>
      </c>
      <c r="C1530">
        <f>SUM($B$2:B1530)/A1530</f>
        <v>60.831151832460733</v>
      </c>
    </row>
    <row r="1531" spans="1:3" x14ac:dyDescent="0.2">
      <c r="A1531">
        <v>1529</v>
      </c>
      <c r="B1531">
        <f t="shared" si="24"/>
        <v>0</v>
      </c>
      <c r="C1531">
        <f>SUM($B$2:B1531)/A1531</f>
        <v>60.791366906474821</v>
      </c>
    </row>
    <row r="1532" spans="1:3" x14ac:dyDescent="0.2">
      <c r="A1532">
        <v>1530</v>
      </c>
      <c r="B1532">
        <f t="shared" si="24"/>
        <v>0</v>
      </c>
      <c r="C1532">
        <f>SUM($B$2:B1532)/A1532</f>
        <v>60.751633986928105</v>
      </c>
    </row>
    <row r="1533" spans="1:3" x14ac:dyDescent="0.2">
      <c r="A1533">
        <v>1531</v>
      </c>
      <c r="B1533">
        <f t="shared" si="24"/>
        <v>0</v>
      </c>
      <c r="C1533">
        <f>SUM($B$2:B1533)/A1533</f>
        <v>60.711952971913782</v>
      </c>
    </row>
    <row r="1534" spans="1:3" x14ac:dyDescent="0.2">
      <c r="A1534">
        <v>1532</v>
      </c>
      <c r="B1534">
        <f t="shared" si="24"/>
        <v>0</v>
      </c>
      <c r="C1534">
        <f>SUM($B$2:B1534)/A1534</f>
        <v>60.672323759791119</v>
      </c>
    </row>
    <row r="1535" spans="1:3" x14ac:dyDescent="0.2">
      <c r="A1535">
        <v>1533</v>
      </c>
      <c r="B1535">
        <f t="shared" si="24"/>
        <v>0</v>
      </c>
      <c r="C1535">
        <f>SUM($B$2:B1535)/A1535</f>
        <v>60.632746249184606</v>
      </c>
    </row>
    <row r="1536" spans="1:3" x14ac:dyDescent="0.2">
      <c r="A1536">
        <v>1534</v>
      </c>
      <c r="B1536">
        <f t="shared" si="24"/>
        <v>0</v>
      </c>
      <c r="C1536">
        <f>SUM($B$2:B1536)/A1536</f>
        <v>60.593220338983052</v>
      </c>
    </row>
    <row r="1537" spans="1:3" x14ac:dyDescent="0.2">
      <c r="A1537">
        <v>1535</v>
      </c>
      <c r="B1537">
        <f t="shared" si="24"/>
        <v>0</v>
      </c>
      <c r="C1537">
        <f>SUM($B$2:B1537)/A1537</f>
        <v>60.553745928338763</v>
      </c>
    </row>
    <row r="1538" spans="1:3" x14ac:dyDescent="0.2">
      <c r="A1538">
        <v>1536</v>
      </c>
      <c r="B1538">
        <f t="shared" si="24"/>
        <v>0</v>
      </c>
      <c r="C1538">
        <f>SUM($B$2:B1538)/A1538</f>
        <v>60.514322916666664</v>
      </c>
    </row>
    <row r="1539" spans="1:3" x14ac:dyDescent="0.2">
      <c r="A1539">
        <v>1537</v>
      </c>
      <c r="B1539">
        <f t="shared" si="24"/>
        <v>0</v>
      </c>
      <c r="C1539">
        <f>SUM($B$2:B1539)/A1539</f>
        <v>60.474951203643464</v>
      </c>
    </row>
    <row r="1540" spans="1:3" x14ac:dyDescent="0.2">
      <c r="A1540">
        <v>1538</v>
      </c>
      <c r="B1540">
        <f t="shared" si="24"/>
        <v>0</v>
      </c>
      <c r="C1540">
        <f>SUM($B$2:B1540)/A1540</f>
        <v>60.435630689206761</v>
      </c>
    </row>
    <row r="1541" spans="1:3" x14ac:dyDescent="0.2">
      <c r="A1541">
        <v>1539</v>
      </c>
      <c r="B1541">
        <f t="shared" ref="B1541:B1604" si="25">IF((A1540-IF(A1540+1/120&gt;1,ROUNDDOWN(A1540/120,0)*120,0))/20&lt;1,ROUNDDOWN((A1540-120*ROUNDDOWN(A1540/120,0))/2,0)*65+65,0)</f>
        <v>0</v>
      </c>
      <c r="C1541">
        <f>SUM($B$2:B1541)/A1541</f>
        <v>60.396361273554255</v>
      </c>
    </row>
    <row r="1542" spans="1:3" x14ac:dyDescent="0.2">
      <c r="A1542">
        <v>1540</v>
      </c>
      <c r="B1542">
        <f t="shared" si="25"/>
        <v>0</v>
      </c>
      <c r="C1542">
        <f>SUM($B$2:B1542)/A1542</f>
        <v>60.357142857142854</v>
      </c>
    </row>
    <row r="1543" spans="1:3" x14ac:dyDescent="0.2">
      <c r="A1543">
        <v>1541</v>
      </c>
      <c r="B1543">
        <f t="shared" si="25"/>
        <v>0</v>
      </c>
      <c r="C1543">
        <f>SUM($B$2:B1543)/A1543</f>
        <v>60.317975340687866</v>
      </c>
    </row>
    <row r="1544" spans="1:3" x14ac:dyDescent="0.2">
      <c r="A1544">
        <v>1542</v>
      </c>
      <c r="B1544">
        <f t="shared" si="25"/>
        <v>0</v>
      </c>
      <c r="C1544">
        <f>SUM($B$2:B1544)/A1544</f>
        <v>60.27885862516213</v>
      </c>
    </row>
    <row r="1545" spans="1:3" x14ac:dyDescent="0.2">
      <c r="A1545">
        <v>1543</v>
      </c>
      <c r="B1545">
        <f t="shared" si="25"/>
        <v>0</v>
      </c>
      <c r="C1545">
        <f>SUM($B$2:B1545)/A1545</f>
        <v>60.239792611795203</v>
      </c>
    </row>
    <row r="1546" spans="1:3" x14ac:dyDescent="0.2">
      <c r="A1546">
        <v>1544</v>
      </c>
      <c r="B1546">
        <f t="shared" si="25"/>
        <v>0</v>
      </c>
      <c r="C1546">
        <f>SUM($B$2:B1546)/A1546</f>
        <v>60.200777202072537</v>
      </c>
    </row>
    <row r="1547" spans="1:3" x14ac:dyDescent="0.2">
      <c r="A1547">
        <v>1545</v>
      </c>
      <c r="B1547">
        <f t="shared" si="25"/>
        <v>0</v>
      </c>
      <c r="C1547">
        <f>SUM($B$2:B1547)/A1547</f>
        <v>60.161812297734627</v>
      </c>
    </row>
    <row r="1548" spans="1:3" x14ac:dyDescent="0.2">
      <c r="A1548">
        <v>1546</v>
      </c>
      <c r="B1548">
        <f t="shared" si="25"/>
        <v>0</v>
      </c>
      <c r="C1548">
        <f>SUM($B$2:B1548)/A1548</f>
        <v>60.122897800776194</v>
      </c>
    </row>
    <row r="1549" spans="1:3" x14ac:dyDescent="0.2">
      <c r="A1549">
        <v>1547</v>
      </c>
      <c r="B1549">
        <f t="shared" si="25"/>
        <v>0</v>
      </c>
      <c r="C1549">
        <f>SUM($B$2:B1549)/A1549</f>
        <v>60.084033613445378</v>
      </c>
    </row>
    <row r="1550" spans="1:3" x14ac:dyDescent="0.2">
      <c r="A1550">
        <v>1548</v>
      </c>
      <c r="B1550">
        <f t="shared" si="25"/>
        <v>0</v>
      </c>
      <c r="C1550">
        <f>SUM($B$2:B1550)/A1550</f>
        <v>60.045219638242891</v>
      </c>
    </row>
    <row r="1551" spans="1:3" x14ac:dyDescent="0.2">
      <c r="A1551">
        <v>1549</v>
      </c>
      <c r="B1551">
        <f t="shared" si="25"/>
        <v>0</v>
      </c>
      <c r="C1551">
        <f>SUM($B$2:B1551)/A1551</f>
        <v>60.006455777921239</v>
      </c>
    </row>
    <row r="1552" spans="1:3" x14ac:dyDescent="0.2">
      <c r="A1552">
        <v>1550</v>
      </c>
      <c r="B1552">
        <f t="shared" si="25"/>
        <v>0</v>
      </c>
      <c r="C1552">
        <f>SUM($B$2:B1552)/A1552</f>
        <v>59.967741935483872</v>
      </c>
    </row>
    <row r="1553" spans="1:3" x14ac:dyDescent="0.2">
      <c r="A1553">
        <v>1551</v>
      </c>
      <c r="B1553">
        <f t="shared" si="25"/>
        <v>0</v>
      </c>
      <c r="C1553">
        <f>SUM($B$2:B1553)/A1553</f>
        <v>59.929078014184398</v>
      </c>
    </row>
    <row r="1554" spans="1:3" x14ac:dyDescent="0.2">
      <c r="A1554">
        <v>1552</v>
      </c>
      <c r="B1554">
        <f t="shared" si="25"/>
        <v>0</v>
      </c>
      <c r="C1554">
        <f>SUM($B$2:B1554)/A1554</f>
        <v>59.890463917525771</v>
      </c>
    </row>
    <row r="1555" spans="1:3" x14ac:dyDescent="0.2">
      <c r="A1555">
        <v>1553</v>
      </c>
      <c r="B1555">
        <f t="shared" si="25"/>
        <v>0</v>
      </c>
      <c r="C1555">
        <f>SUM($B$2:B1555)/A1555</f>
        <v>59.8518995492595</v>
      </c>
    </row>
    <row r="1556" spans="1:3" x14ac:dyDescent="0.2">
      <c r="A1556">
        <v>1554</v>
      </c>
      <c r="B1556">
        <f t="shared" si="25"/>
        <v>0</v>
      </c>
      <c r="C1556">
        <f>SUM($B$2:B1556)/A1556</f>
        <v>59.813384813384815</v>
      </c>
    </row>
    <row r="1557" spans="1:3" x14ac:dyDescent="0.2">
      <c r="A1557">
        <v>1555</v>
      </c>
      <c r="B1557">
        <f t="shared" si="25"/>
        <v>0</v>
      </c>
      <c r="C1557">
        <f>SUM($B$2:B1557)/A1557</f>
        <v>59.774919614147912</v>
      </c>
    </row>
    <row r="1558" spans="1:3" x14ac:dyDescent="0.2">
      <c r="A1558">
        <v>1556</v>
      </c>
      <c r="B1558">
        <f t="shared" si="25"/>
        <v>0</v>
      </c>
      <c r="C1558">
        <f>SUM($B$2:B1558)/A1558</f>
        <v>59.736503856041132</v>
      </c>
    </row>
    <row r="1559" spans="1:3" x14ac:dyDescent="0.2">
      <c r="A1559">
        <v>1557</v>
      </c>
      <c r="B1559">
        <f t="shared" si="25"/>
        <v>0</v>
      </c>
      <c r="C1559">
        <f>SUM($B$2:B1559)/A1559</f>
        <v>59.698137443802182</v>
      </c>
    </row>
    <row r="1560" spans="1:3" x14ac:dyDescent="0.2">
      <c r="A1560">
        <v>1558</v>
      </c>
      <c r="B1560">
        <f t="shared" si="25"/>
        <v>0</v>
      </c>
      <c r="C1560">
        <f>SUM($B$2:B1560)/A1560</f>
        <v>59.659820282413349</v>
      </c>
    </row>
    <row r="1561" spans="1:3" x14ac:dyDescent="0.2">
      <c r="A1561">
        <v>1559</v>
      </c>
      <c r="B1561">
        <f t="shared" si="25"/>
        <v>0</v>
      </c>
      <c r="C1561">
        <f>SUM($B$2:B1561)/A1561</f>
        <v>59.621552277100704</v>
      </c>
    </row>
    <row r="1562" spans="1:3" x14ac:dyDescent="0.2">
      <c r="A1562">
        <v>1560</v>
      </c>
      <c r="B1562">
        <f t="shared" si="25"/>
        <v>0</v>
      </c>
      <c r="C1562">
        <f>SUM($B$2:B1562)/A1562</f>
        <v>59.583333333333336</v>
      </c>
    </row>
    <row r="1563" spans="1:3" x14ac:dyDescent="0.2">
      <c r="A1563">
        <v>1561</v>
      </c>
      <c r="B1563">
        <f t="shared" si="25"/>
        <v>65</v>
      </c>
      <c r="C1563">
        <f>SUM($B$2:B1563)/A1563</f>
        <v>59.586803331197949</v>
      </c>
    </row>
    <row r="1564" spans="1:3" x14ac:dyDescent="0.2">
      <c r="A1564">
        <v>1562</v>
      </c>
      <c r="B1564">
        <f t="shared" si="25"/>
        <v>65</v>
      </c>
      <c r="C1564">
        <f>SUM($B$2:B1564)/A1564</f>
        <v>59.590268886043532</v>
      </c>
    </row>
    <row r="1565" spans="1:3" x14ac:dyDescent="0.2">
      <c r="A1565">
        <v>1563</v>
      </c>
      <c r="B1565">
        <f t="shared" si="25"/>
        <v>130</v>
      </c>
      <c r="C1565">
        <f>SUM($B$2:B1565)/A1565</f>
        <v>59.635316698656432</v>
      </c>
    </row>
    <row r="1566" spans="1:3" x14ac:dyDescent="0.2">
      <c r="A1566">
        <v>1564</v>
      </c>
      <c r="B1566">
        <f t="shared" si="25"/>
        <v>130</v>
      </c>
      <c r="C1566">
        <f>SUM($B$2:B1566)/A1566</f>
        <v>59.680306905370841</v>
      </c>
    </row>
    <row r="1567" spans="1:3" x14ac:dyDescent="0.2">
      <c r="A1567">
        <v>1565</v>
      </c>
      <c r="B1567">
        <f t="shared" si="25"/>
        <v>195</v>
      </c>
      <c r="C1567">
        <f>SUM($B$2:B1567)/A1567</f>
        <v>59.766773162939295</v>
      </c>
    </row>
    <row r="1568" spans="1:3" x14ac:dyDescent="0.2">
      <c r="A1568">
        <v>1566</v>
      </c>
      <c r="B1568">
        <f t="shared" si="25"/>
        <v>195</v>
      </c>
      <c r="C1568">
        <f>SUM($B$2:B1568)/A1568</f>
        <v>59.853128991060025</v>
      </c>
    </row>
    <row r="1569" spans="1:3" x14ac:dyDescent="0.2">
      <c r="A1569">
        <v>1567</v>
      </c>
      <c r="B1569">
        <f t="shared" si="25"/>
        <v>260</v>
      </c>
      <c r="C1569">
        <f>SUM($B$2:B1569)/A1569</f>
        <v>59.980855137204848</v>
      </c>
    </row>
    <row r="1570" spans="1:3" x14ac:dyDescent="0.2">
      <c r="A1570">
        <v>1568</v>
      </c>
      <c r="B1570">
        <f t="shared" si="25"/>
        <v>260</v>
      </c>
      <c r="C1570">
        <f>SUM($B$2:B1570)/A1570</f>
        <v>60.108418367346935</v>
      </c>
    </row>
    <row r="1571" spans="1:3" x14ac:dyDescent="0.2">
      <c r="A1571">
        <v>1569</v>
      </c>
      <c r="B1571">
        <f t="shared" si="25"/>
        <v>325</v>
      </c>
      <c r="C1571">
        <f>SUM($B$2:B1571)/A1571</f>
        <v>60.277246653919697</v>
      </c>
    </row>
    <row r="1572" spans="1:3" x14ac:dyDescent="0.2">
      <c r="A1572">
        <v>1570</v>
      </c>
      <c r="B1572">
        <f t="shared" si="25"/>
        <v>325</v>
      </c>
      <c r="C1572">
        <f>SUM($B$2:B1572)/A1572</f>
        <v>60.445859872611464</v>
      </c>
    </row>
    <row r="1573" spans="1:3" x14ac:dyDescent="0.2">
      <c r="A1573">
        <v>1571</v>
      </c>
      <c r="B1573">
        <f t="shared" si="25"/>
        <v>390</v>
      </c>
      <c r="C1573">
        <f>SUM($B$2:B1573)/A1573</f>
        <v>60.655633354551242</v>
      </c>
    </row>
    <row r="1574" spans="1:3" x14ac:dyDescent="0.2">
      <c r="A1574">
        <v>1572</v>
      </c>
      <c r="B1574">
        <f t="shared" si="25"/>
        <v>390</v>
      </c>
      <c r="C1574">
        <f>SUM($B$2:B1574)/A1574</f>
        <v>60.865139949109412</v>
      </c>
    </row>
    <row r="1575" spans="1:3" x14ac:dyDescent="0.2">
      <c r="A1575">
        <v>1573</v>
      </c>
      <c r="B1575">
        <f t="shared" si="25"/>
        <v>455</v>
      </c>
      <c r="C1575">
        <f>SUM($B$2:B1575)/A1575</f>
        <v>61.115702479338843</v>
      </c>
    </row>
    <row r="1576" spans="1:3" x14ac:dyDescent="0.2">
      <c r="A1576">
        <v>1574</v>
      </c>
      <c r="B1576">
        <f t="shared" si="25"/>
        <v>455</v>
      </c>
      <c r="C1576">
        <f>SUM($B$2:B1576)/A1576</f>
        <v>61.365946632782716</v>
      </c>
    </row>
    <row r="1577" spans="1:3" x14ac:dyDescent="0.2">
      <c r="A1577">
        <v>1575</v>
      </c>
      <c r="B1577">
        <f t="shared" si="25"/>
        <v>520</v>
      </c>
      <c r="C1577">
        <f>SUM($B$2:B1577)/A1577</f>
        <v>61.657142857142858</v>
      </c>
    </row>
    <row r="1578" spans="1:3" x14ac:dyDescent="0.2">
      <c r="A1578">
        <v>1576</v>
      </c>
      <c r="B1578">
        <f t="shared" si="25"/>
        <v>520</v>
      </c>
      <c r="C1578">
        <f>SUM($B$2:B1578)/A1578</f>
        <v>61.947969543147209</v>
      </c>
    </row>
    <row r="1579" spans="1:3" x14ac:dyDescent="0.2">
      <c r="A1579">
        <v>1577</v>
      </c>
      <c r="B1579">
        <f t="shared" si="25"/>
        <v>585</v>
      </c>
      <c r="C1579">
        <f>SUM($B$2:B1579)/A1579</f>
        <v>62.279644895370957</v>
      </c>
    </row>
    <row r="1580" spans="1:3" x14ac:dyDescent="0.2">
      <c r="A1580">
        <v>1578</v>
      </c>
      <c r="B1580">
        <f t="shared" si="25"/>
        <v>585</v>
      </c>
      <c r="C1580">
        <f>SUM($B$2:B1580)/A1580</f>
        <v>62.610899873257289</v>
      </c>
    </row>
    <row r="1581" spans="1:3" x14ac:dyDescent="0.2">
      <c r="A1581">
        <v>1579</v>
      </c>
      <c r="B1581">
        <f t="shared" si="25"/>
        <v>650</v>
      </c>
      <c r="C1581">
        <f>SUM($B$2:B1581)/A1581</f>
        <v>62.982900569980998</v>
      </c>
    </row>
    <row r="1582" spans="1:3" x14ac:dyDescent="0.2">
      <c r="A1582">
        <v>1580</v>
      </c>
      <c r="B1582">
        <f t="shared" si="25"/>
        <v>650</v>
      </c>
      <c r="C1582">
        <f>SUM($B$2:B1582)/A1582</f>
        <v>63.354430379746837</v>
      </c>
    </row>
    <row r="1583" spans="1:3" x14ac:dyDescent="0.2">
      <c r="A1583">
        <v>1581</v>
      </c>
      <c r="B1583">
        <f t="shared" si="25"/>
        <v>0</v>
      </c>
      <c r="C1583">
        <f>SUM($B$2:B1583)/A1583</f>
        <v>63.31435800126502</v>
      </c>
    </row>
    <row r="1584" spans="1:3" x14ac:dyDescent="0.2">
      <c r="A1584">
        <v>1582</v>
      </c>
      <c r="B1584">
        <f t="shared" si="25"/>
        <v>0</v>
      </c>
      <c r="C1584">
        <f>SUM($B$2:B1584)/A1584</f>
        <v>63.274336283185839</v>
      </c>
    </row>
    <row r="1585" spans="1:3" x14ac:dyDescent="0.2">
      <c r="A1585">
        <v>1583</v>
      </c>
      <c r="B1585">
        <f t="shared" si="25"/>
        <v>0</v>
      </c>
      <c r="C1585">
        <f>SUM($B$2:B1585)/A1585</f>
        <v>63.234365129500951</v>
      </c>
    </row>
    <row r="1586" spans="1:3" x14ac:dyDescent="0.2">
      <c r="A1586">
        <v>1584</v>
      </c>
      <c r="B1586">
        <f t="shared" si="25"/>
        <v>0</v>
      </c>
      <c r="C1586">
        <f>SUM($B$2:B1586)/A1586</f>
        <v>63.194444444444443</v>
      </c>
    </row>
    <row r="1587" spans="1:3" x14ac:dyDescent="0.2">
      <c r="A1587">
        <v>1585</v>
      </c>
      <c r="B1587">
        <f t="shared" si="25"/>
        <v>0</v>
      </c>
      <c r="C1587">
        <f>SUM($B$2:B1587)/A1587</f>
        <v>63.154574132492115</v>
      </c>
    </row>
    <row r="1588" spans="1:3" x14ac:dyDescent="0.2">
      <c r="A1588">
        <v>1586</v>
      </c>
      <c r="B1588">
        <f t="shared" si="25"/>
        <v>0</v>
      </c>
      <c r="C1588">
        <f>SUM($B$2:B1588)/A1588</f>
        <v>63.114754098360656</v>
      </c>
    </row>
    <row r="1589" spans="1:3" x14ac:dyDescent="0.2">
      <c r="A1589">
        <v>1587</v>
      </c>
      <c r="B1589">
        <f t="shared" si="25"/>
        <v>0</v>
      </c>
      <c r="C1589">
        <f>SUM($B$2:B1589)/A1589</f>
        <v>63.074984247006931</v>
      </c>
    </row>
    <row r="1590" spans="1:3" x14ac:dyDescent="0.2">
      <c r="A1590">
        <v>1588</v>
      </c>
      <c r="B1590">
        <f t="shared" si="25"/>
        <v>0</v>
      </c>
      <c r="C1590">
        <f>SUM($B$2:B1590)/A1590</f>
        <v>63.035264483627202</v>
      </c>
    </row>
    <row r="1591" spans="1:3" x14ac:dyDescent="0.2">
      <c r="A1591">
        <v>1589</v>
      </c>
      <c r="B1591">
        <f t="shared" si="25"/>
        <v>0</v>
      </c>
      <c r="C1591">
        <f>SUM($B$2:B1591)/A1591</f>
        <v>62.995594713656388</v>
      </c>
    </row>
    <row r="1592" spans="1:3" x14ac:dyDescent="0.2">
      <c r="A1592">
        <v>1590</v>
      </c>
      <c r="B1592">
        <f t="shared" si="25"/>
        <v>0</v>
      </c>
      <c r="C1592">
        <f>SUM($B$2:B1592)/A1592</f>
        <v>62.955974842767297</v>
      </c>
    </row>
    <row r="1593" spans="1:3" x14ac:dyDescent="0.2">
      <c r="A1593">
        <v>1591</v>
      </c>
      <c r="B1593">
        <f t="shared" si="25"/>
        <v>0</v>
      </c>
      <c r="C1593">
        <f>SUM($B$2:B1593)/A1593</f>
        <v>62.916404776869896</v>
      </c>
    </row>
    <row r="1594" spans="1:3" x14ac:dyDescent="0.2">
      <c r="A1594">
        <v>1592</v>
      </c>
      <c r="B1594">
        <f t="shared" si="25"/>
        <v>0</v>
      </c>
      <c r="C1594">
        <f>SUM($B$2:B1594)/A1594</f>
        <v>62.87688442211055</v>
      </c>
    </row>
    <row r="1595" spans="1:3" x14ac:dyDescent="0.2">
      <c r="A1595">
        <v>1593</v>
      </c>
      <c r="B1595">
        <f t="shared" si="25"/>
        <v>0</v>
      </c>
      <c r="C1595">
        <f>SUM($B$2:B1595)/A1595</f>
        <v>62.837413684871315</v>
      </c>
    </row>
    <row r="1596" spans="1:3" x14ac:dyDescent="0.2">
      <c r="A1596">
        <v>1594</v>
      </c>
      <c r="B1596">
        <f t="shared" si="25"/>
        <v>0</v>
      </c>
      <c r="C1596">
        <f>SUM($B$2:B1596)/A1596</f>
        <v>62.797992471769135</v>
      </c>
    </row>
    <row r="1597" spans="1:3" x14ac:dyDescent="0.2">
      <c r="A1597">
        <v>1595</v>
      </c>
      <c r="B1597">
        <f t="shared" si="25"/>
        <v>0</v>
      </c>
      <c r="C1597">
        <f>SUM($B$2:B1597)/A1597</f>
        <v>62.758620689655174</v>
      </c>
    </row>
    <row r="1598" spans="1:3" x14ac:dyDescent="0.2">
      <c r="A1598">
        <v>1596</v>
      </c>
      <c r="B1598">
        <f t="shared" si="25"/>
        <v>0</v>
      </c>
      <c r="C1598">
        <f>SUM($B$2:B1598)/A1598</f>
        <v>62.719298245614034</v>
      </c>
    </row>
    <row r="1599" spans="1:3" x14ac:dyDescent="0.2">
      <c r="A1599">
        <v>1597</v>
      </c>
      <c r="B1599">
        <f t="shared" si="25"/>
        <v>0</v>
      </c>
      <c r="C1599">
        <f>SUM($B$2:B1599)/A1599</f>
        <v>62.680025046963053</v>
      </c>
    </row>
    <row r="1600" spans="1:3" x14ac:dyDescent="0.2">
      <c r="A1600">
        <v>1598</v>
      </c>
      <c r="B1600">
        <f t="shared" si="25"/>
        <v>0</v>
      </c>
      <c r="C1600">
        <f>SUM($B$2:B1600)/A1600</f>
        <v>62.640801001251567</v>
      </c>
    </row>
    <row r="1601" spans="1:3" x14ac:dyDescent="0.2">
      <c r="A1601">
        <v>1599</v>
      </c>
      <c r="B1601">
        <f t="shared" si="25"/>
        <v>0</v>
      </c>
      <c r="C1601">
        <f>SUM($B$2:B1601)/A1601</f>
        <v>62.601626016260163</v>
      </c>
    </row>
    <row r="1602" spans="1:3" x14ac:dyDescent="0.2">
      <c r="A1602">
        <v>1600</v>
      </c>
      <c r="B1602">
        <f t="shared" si="25"/>
        <v>0</v>
      </c>
      <c r="C1602">
        <f>SUM($B$2:B1602)/A1602</f>
        <v>62.5625</v>
      </c>
    </row>
    <row r="1603" spans="1:3" x14ac:dyDescent="0.2">
      <c r="A1603">
        <v>1601</v>
      </c>
      <c r="B1603">
        <f t="shared" si="25"/>
        <v>0</v>
      </c>
      <c r="C1603">
        <f>SUM($B$2:B1603)/A1603</f>
        <v>62.523422860712053</v>
      </c>
    </row>
    <row r="1604" spans="1:3" x14ac:dyDescent="0.2">
      <c r="A1604">
        <v>1602</v>
      </c>
      <c r="B1604">
        <f t="shared" si="25"/>
        <v>0</v>
      </c>
      <c r="C1604">
        <f>SUM($B$2:B1604)/A1604</f>
        <v>62.484394506866415</v>
      </c>
    </row>
    <row r="1605" spans="1:3" x14ac:dyDescent="0.2">
      <c r="A1605">
        <v>1603</v>
      </c>
      <c r="B1605">
        <f t="shared" ref="B1605:B1668" si="26">IF((A1604-IF(A1604+1/120&gt;1,ROUNDDOWN(A1604/120,0)*120,0))/20&lt;1,ROUNDDOWN((A1604-120*ROUNDDOWN(A1604/120,0))/2,0)*65+65,0)</f>
        <v>0</v>
      </c>
      <c r="C1605">
        <f>SUM($B$2:B1605)/A1605</f>
        <v>62.445414847161572</v>
      </c>
    </row>
    <row r="1606" spans="1:3" x14ac:dyDescent="0.2">
      <c r="A1606">
        <v>1604</v>
      </c>
      <c r="B1606">
        <f t="shared" si="26"/>
        <v>0</v>
      </c>
      <c r="C1606">
        <f>SUM($B$2:B1606)/A1606</f>
        <v>62.406483790523694</v>
      </c>
    </row>
    <row r="1607" spans="1:3" x14ac:dyDescent="0.2">
      <c r="A1607">
        <v>1605</v>
      </c>
      <c r="B1607">
        <f t="shared" si="26"/>
        <v>0</v>
      </c>
      <c r="C1607">
        <f>SUM($B$2:B1607)/A1607</f>
        <v>62.36760124610592</v>
      </c>
    </row>
    <row r="1608" spans="1:3" x14ac:dyDescent="0.2">
      <c r="A1608">
        <v>1606</v>
      </c>
      <c r="B1608">
        <f t="shared" si="26"/>
        <v>0</v>
      </c>
      <c r="C1608">
        <f>SUM($B$2:B1608)/A1608</f>
        <v>62.328767123287669</v>
      </c>
    </row>
    <row r="1609" spans="1:3" x14ac:dyDescent="0.2">
      <c r="A1609">
        <v>1607</v>
      </c>
      <c r="B1609">
        <f t="shared" si="26"/>
        <v>0</v>
      </c>
      <c r="C1609">
        <f>SUM($B$2:B1609)/A1609</f>
        <v>62.289981331673928</v>
      </c>
    </row>
    <row r="1610" spans="1:3" x14ac:dyDescent="0.2">
      <c r="A1610">
        <v>1608</v>
      </c>
      <c r="B1610">
        <f t="shared" si="26"/>
        <v>0</v>
      </c>
      <c r="C1610">
        <f>SUM($B$2:B1610)/A1610</f>
        <v>62.25124378109453</v>
      </c>
    </row>
    <row r="1611" spans="1:3" x14ac:dyDescent="0.2">
      <c r="A1611">
        <v>1609</v>
      </c>
      <c r="B1611">
        <f t="shared" si="26"/>
        <v>0</v>
      </c>
      <c r="C1611">
        <f>SUM($B$2:B1611)/A1611</f>
        <v>62.212554381603482</v>
      </c>
    </row>
    <row r="1612" spans="1:3" x14ac:dyDescent="0.2">
      <c r="A1612">
        <v>1610</v>
      </c>
      <c r="B1612">
        <f t="shared" si="26"/>
        <v>0</v>
      </c>
      <c r="C1612">
        <f>SUM($B$2:B1612)/A1612</f>
        <v>62.173913043478258</v>
      </c>
    </row>
    <row r="1613" spans="1:3" x14ac:dyDescent="0.2">
      <c r="A1613">
        <v>1611</v>
      </c>
      <c r="B1613">
        <f t="shared" si="26"/>
        <v>0</v>
      </c>
      <c r="C1613">
        <f>SUM($B$2:B1613)/A1613</f>
        <v>62.135319677219115</v>
      </c>
    </row>
    <row r="1614" spans="1:3" x14ac:dyDescent="0.2">
      <c r="A1614">
        <v>1612</v>
      </c>
      <c r="B1614">
        <f t="shared" si="26"/>
        <v>0</v>
      </c>
      <c r="C1614">
        <f>SUM($B$2:B1614)/A1614</f>
        <v>62.096774193548384</v>
      </c>
    </row>
    <row r="1615" spans="1:3" x14ac:dyDescent="0.2">
      <c r="A1615">
        <v>1613</v>
      </c>
      <c r="B1615">
        <f t="shared" si="26"/>
        <v>0</v>
      </c>
      <c r="C1615">
        <f>SUM($B$2:B1615)/A1615</f>
        <v>62.058276503409793</v>
      </c>
    </row>
    <row r="1616" spans="1:3" x14ac:dyDescent="0.2">
      <c r="A1616">
        <v>1614</v>
      </c>
      <c r="B1616">
        <f t="shared" si="26"/>
        <v>0</v>
      </c>
      <c r="C1616">
        <f>SUM($B$2:B1616)/A1616</f>
        <v>62.019826517967779</v>
      </c>
    </row>
    <row r="1617" spans="1:3" x14ac:dyDescent="0.2">
      <c r="A1617">
        <v>1615</v>
      </c>
      <c r="B1617">
        <f t="shared" si="26"/>
        <v>0</v>
      </c>
      <c r="C1617">
        <f>SUM($B$2:B1617)/A1617</f>
        <v>61.981424148606813</v>
      </c>
    </row>
    <row r="1618" spans="1:3" x14ac:dyDescent="0.2">
      <c r="A1618">
        <v>1616</v>
      </c>
      <c r="B1618">
        <f t="shared" si="26"/>
        <v>0</v>
      </c>
      <c r="C1618">
        <f>SUM($B$2:B1618)/A1618</f>
        <v>61.943069306930695</v>
      </c>
    </row>
    <row r="1619" spans="1:3" x14ac:dyDescent="0.2">
      <c r="A1619">
        <v>1617</v>
      </c>
      <c r="B1619">
        <f t="shared" si="26"/>
        <v>0</v>
      </c>
      <c r="C1619">
        <f>SUM($B$2:B1619)/A1619</f>
        <v>61.904761904761905</v>
      </c>
    </row>
    <row r="1620" spans="1:3" x14ac:dyDescent="0.2">
      <c r="A1620">
        <v>1618</v>
      </c>
      <c r="B1620">
        <f t="shared" si="26"/>
        <v>0</v>
      </c>
      <c r="C1620">
        <f>SUM($B$2:B1620)/A1620</f>
        <v>61.866501854140914</v>
      </c>
    </row>
    <row r="1621" spans="1:3" x14ac:dyDescent="0.2">
      <c r="A1621">
        <v>1619</v>
      </c>
      <c r="B1621">
        <f t="shared" si="26"/>
        <v>0</v>
      </c>
      <c r="C1621">
        <f>SUM($B$2:B1621)/A1621</f>
        <v>61.828289067325507</v>
      </c>
    </row>
    <row r="1622" spans="1:3" x14ac:dyDescent="0.2">
      <c r="A1622">
        <v>1620</v>
      </c>
      <c r="B1622">
        <f t="shared" si="26"/>
        <v>0</v>
      </c>
      <c r="C1622">
        <f>SUM($B$2:B1622)/A1622</f>
        <v>61.790123456790127</v>
      </c>
    </row>
    <row r="1623" spans="1:3" x14ac:dyDescent="0.2">
      <c r="A1623">
        <v>1621</v>
      </c>
      <c r="B1623">
        <f t="shared" si="26"/>
        <v>0</v>
      </c>
      <c r="C1623">
        <f>SUM($B$2:B1623)/A1623</f>
        <v>61.752004935225173</v>
      </c>
    </row>
    <row r="1624" spans="1:3" x14ac:dyDescent="0.2">
      <c r="A1624">
        <v>1622</v>
      </c>
      <c r="B1624">
        <f t="shared" si="26"/>
        <v>0</v>
      </c>
      <c r="C1624">
        <f>SUM($B$2:B1624)/A1624</f>
        <v>61.713933415536374</v>
      </c>
    </row>
    <row r="1625" spans="1:3" x14ac:dyDescent="0.2">
      <c r="A1625">
        <v>1623</v>
      </c>
      <c r="B1625">
        <f t="shared" si="26"/>
        <v>0</v>
      </c>
      <c r="C1625">
        <f>SUM($B$2:B1625)/A1625</f>
        <v>61.675908810844113</v>
      </c>
    </row>
    <row r="1626" spans="1:3" x14ac:dyDescent="0.2">
      <c r="A1626">
        <v>1624</v>
      </c>
      <c r="B1626">
        <f t="shared" si="26"/>
        <v>0</v>
      </c>
      <c r="C1626">
        <f>SUM($B$2:B1626)/A1626</f>
        <v>61.637931034482762</v>
      </c>
    </row>
    <row r="1627" spans="1:3" x14ac:dyDescent="0.2">
      <c r="A1627">
        <v>1625</v>
      </c>
      <c r="B1627">
        <f t="shared" si="26"/>
        <v>0</v>
      </c>
      <c r="C1627">
        <f>SUM($B$2:B1627)/A1627</f>
        <v>61.6</v>
      </c>
    </row>
    <row r="1628" spans="1:3" x14ac:dyDescent="0.2">
      <c r="A1628">
        <v>1626</v>
      </c>
      <c r="B1628">
        <f t="shared" si="26"/>
        <v>0</v>
      </c>
      <c r="C1628">
        <f>SUM($B$2:B1628)/A1628</f>
        <v>61.562115621156209</v>
      </c>
    </row>
    <row r="1629" spans="1:3" x14ac:dyDescent="0.2">
      <c r="A1629">
        <v>1627</v>
      </c>
      <c r="B1629">
        <f t="shared" si="26"/>
        <v>0</v>
      </c>
      <c r="C1629">
        <f>SUM($B$2:B1629)/A1629</f>
        <v>61.524277811923788</v>
      </c>
    </row>
    <row r="1630" spans="1:3" x14ac:dyDescent="0.2">
      <c r="A1630">
        <v>1628</v>
      </c>
      <c r="B1630">
        <f t="shared" si="26"/>
        <v>0</v>
      </c>
      <c r="C1630">
        <f>SUM($B$2:B1630)/A1630</f>
        <v>61.486486486486484</v>
      </c>
    </row>
    <row r="1631" spans="1:3" x14ac:dyDescent="0.2">
      <c r="A1631">
        <v>1629</v>
      </c>
      <c r="B1631">
        <f t="shared" si="26"/>
        <v>0</v>
      </c>
      <c r="C1631">
        <f>SUM($B$2:B1631)/A1631</f>
        <v>61.448741559238798</v>
      </c>
    </row>
    <row r="1632" spans="1:3" x14ac:dyDescent="0.2">
      <c r="A1632">
        <v>1630</v>
      </c>
      <c r="B1632">
        <f t="shared" si="26"/>
        <v>0</v>
      </c>
      <c r="C1632">
        <f>SUM($B$2:B1632)/A1632</f>
        <v>61.411042944785279</v>
      </c>
    </row>
    <row r="1633" spans="1:3" x14ac:dyDescent="0.2">
      <c r="A1633">
        <v>1631</v>
      </c>
      <c r="B1633">
        <f t="shared" si="26"/>
        <v>0</v>
      </c>
      <c r="C1633">
        <f>SUM($B$2:B1633)/A1633</f>
        <v>61.373390557939913</v>
      </c>
    </row>
    <row r="1634" spans="1:3" x14ac:dyDescent="0.2">
      <c r="A1634">
        <v>1632</v>
      </c>
      <c r="B1634">
        <f t="shared" si="26"/>
        <v>0</v>
      </c>
      <c r="C1634">
        <f>SUM($B$2:B1634)/A1634</f>
        <v>61.33578431372549</v>
      </c>
    </row>
    <row r="1635" spans="1:3" x14ac:dyDescent="0.2">
      <c r="A1635">
        <v>1633</v>
      </c>
      <c r="B1635">
        <f t="shared" si="26"/>
        <v>0</v>
      </c>
      <c r="C1635">
        <f>SUM($B$2:B1635)/A1635</f>
        <v>61.298224127372933</v>
      </c>
    </row>
    <row r="1636" spans="1:3" x14ac:dyDescent="0.2">
      <c r="A1636">
        <v>1634</v>
      </c>
      <c r="B1636">
        <f t="shared" si="26"/>
        <v>0</v>
      </c>
      <c r="C1636">
        <f>SUM($B$2:B1636)/A1636</f>
        <v>61.260709914320685</v>
      </c>
    </row>
    <row r="1637" spans="1:3" x14ac:dyDescent="0.2">
      <c r="A1637">
        <v>1635</v>
      </c>
      <c r="B1637">
        <f t="shared" si="26"/>
        <v>0</v>
      </c>
      <c r="C1637">
        <f>SUM($B$2:B1637)/A1637</f>
        <v>61.223241590214066</v>
      </c>
    </row>
    <row r="1638" spans="1:3" x14ac:dyDescent="0.2">
      <c r="A1638">
        <v>1636</v>
      </c>
      <c r="B1638">
        <f t="shared" si="26"/>
        <v>0</v>
      </c>
      <c r="C1638">
        <f>SUM($B$2:B1638)/A1638</f>
        <v>61.185819070904643</v>
      </c>
    </row>
    <row r="1639" spans="1:3" x14ac:dyDescent="0.2">
      <c r="A1639">
        <v>1637</v>
      </c>
      <c r="B1639">
        <f t="shared" si="26"/>
        <v>0</v>
      </c>
      <c r="C1639">
        <f>SUM($B$2:B1639)/A1639</f>
        <v>61.1484422724496</v>
      </c>
    </row>
    <row r="1640" spans="1:3" x14ac:dyDescent="0.2">
      <c r="A1640">
        <v>1638</v>
      </c>
      <c r="B1640">
        <f t="shared" si="26"/>
        <v>0</v>
      </c>
      <c r="C1640">
        <f>SUM($B$2:B1640)/A1640</f>
        <v>61.111111111111114</v>
      </c>
    </row>
    <row r="1641" spans="1:3" x14ac:dyDescent="0.2">
      <c r="A1641">
        <v>1639</v>
      </c>
      <c r="B1641">
        <f t="shared" si="26"/>
        <v>0</v>
      </c>
      <c r="C1641">
        <f>SUM($B$2:B1641)/A1641</f>
        <v>61.073825503355707</v>
      </c>
    </row>
    <row r="1642" spans="1:3" x14ac:dyDescent="0.2">
      <c r="A1642">
        <v>1640</v>
      </c>
      <c r="B1642">
        <f t="shared" si="26"/>
        <v>0</v>
      </c>
      <c r="C1642">
        <f>SUM($B$2:B1642)/A1642</f>
        <v>61.036585365853661</v>
      </c>
    </row>
    <row r="1643" spans="1:3" x14ac:dyDescent="0.2">
      <c r="A1643">
        <v>1641</v>
      </c>
      <c r="B1643">
        <f t="shared" si="26"/>
        <v>0</v>
      </c>
      <c r="C1643">
        <f>SUM($B$2:B1643)/A1643</f>
        <v>60.999390615478369</v>
      </c>
    </row>
    <row r="1644" spans="1:3" x14ac:dyDescent="0.2">
      <c r="A1644">
        <v>1642</v>
      </c>
      <c r="B1644">
        <f t="shared" si="26"/>
        <v>0</v>
      </c>
      <c r="C1644">
        <f>SUM($B$2:B1644)/A1644</f>
        <v>60.962241169305727</v>
      </c>
    </row>
    <row r="1645" spans="1:3" x14ac:dyDescent="0.2">
      <c r="A1645">
        <v>1643</v>
      </c>
      <c r="B1645">
        <f t="shared" si="26"/>
        <v>0</v>
      </c>
      <c r="C1645">
        <f>SUM($B$2:B1645)/A1645</f>
        <v>60.925136944613513</v>
      </c>
    </row>
    <row r="1646" spans="1:3" x14ac:dyDescent="0.2">
      <c r="A1646">
        <v>1644</v>
      </c>
      <c r="B1646">
        <f t="shared" si="26"/>
        <v>0</v>
      </c>
      <c r="C1646">
        <f>SUM($B$2:B1646)/A1646</f>
        <v>60.888077858880777</v>
      </c>
    </row>
    <row r="1647" spans="1:3" x14ac:dyDescent="0.2">
      <c r="A1647">
        <v>1645</v>
      </c>
      <c r="B1647">
        <f t="shared" si="26"/>
        <v>0</v>
      </c>
      <c r="C1647">
        <f>SUM($B$2:B1647)/A1647</f>
        <v>60.851063829787236</v>
      </c>
    </row>
    <row r="1648" spans="1:3" x14ac:dyDescent="0.2">
      <c r="A1648">
        <v>1646</v>
      </c>
      <c r="B1648">
        <f t="shared" si="26"/>
        <v>0</v>
      </c>
      <c r="C1648">
        <f>SUM($B$2:B1648)/A1648</f>
        <v>60.814094775212638</v>
      </c>
    </row>
    <row r="1649" spans="1:3" x14ac:dyDescent="0.2">
      <c r="A1649">
        <v>1647</v>
      </c>
      <c r="B1649">
        <f t="shared" si="26"/>
        <v>0</v>
      </c>
      <c r="C1649">
        <f>SUM($B$2:B1649)/A1649</f>
        <v>60.777170613236187</v>
      </c>
    </row>
    <row r="1650" spans="1:3" x14ac:dyDescent="0.2">
      <c r="A1650">
        <v>1648</v>
      </c>
      <c r="B1650">
        <f t="shared" si="26"/>
        <v>0</v>
      </c>
      <c r="C1650">
        <f>SUM($B$2:B1650)/A1650</f>
        <v>60.740291262135919</v>
      </c>
    </row>
    <row r="1651" spans="1:3" x14ac:dyDescent="0.2">
      <c r="A1651">
        <v>1649</v>
      </c>
      <c r="B1651">
        <f t="shared" si="26"/>
        <v>0</v>
      </c>
      <c r="C1651">
        <f>SUM($B$2:B1651)/A1651</f>
        <v>60.703456640388112</v>
      </c>
    </row>
    <row r="1652" spans="1:3" x14ac:dyDescent="0.2">
      <c r="A1652">
        <v>1650</v>
      </c>
      <c r="B1652">
        <f t="shared" si="26"/>
        <v>0</v>
      </c>
      <c r="C1652">
        <f>SUM($B$2:B1652)/A1652</f>
        <v>60.666666666666664</v>
      </c>
    </row>
    <row r="1653" spans="1:3" x14ac:dyDescent="0.2">
      <c r="A1653">
        <v>1651</v>
      </c>
      <c r="B1653">
        <f t="shared" si="26"/>
        <v>0</v>
      </c>
      <c r="C1653">
        <f>SUM($B$2:B1653)/A1653</f>
        <v>60.629921259842519</v>
      </c>
    </row>
    <row r="1654" spans="1:3" x14ac:dyDescent="0.2">
      <c r="A1654">
        <v>1652</v>
      </c>
      <c r="B1654">
        <f t="shared" si="26"/>
        <v>0</v>
      </c>
      <c r="C1654">
        <f>SUM($B$2:B1654)/A1654</f>
        <v>60.593220338983052</v>
      </c>
    </row>
    <row r="1655" spans="1:3" x14ac:dyDescent="0.2">
      <c r="A1655">
        <v>1653</v>
      </c>
      <c r="B1655">
        <f t="shared" si="26"/>
        <v>0</v>
      </c>
      <c r="C1655">
        <f>SUM($B$2:B1655)/A1655</f>
        <v>60.556563823351482</v>
      </c>
    </row>
    <row r="1656" spans="1:3" x14ac:dyDescent="0.2">
      <c r="A1656">
        <v>1654</v>
      </c>
      <c r="B1656">
        <f t="shared" si="26"/>
        <v>0</v>
      </c>
      <c r="C1656">
        <f>SUM($B$2:B1656)/A1656</f>
        <v>60.51995163240629</v>
      </c>
    </row>
    <row r="1657" spans="1:3" x14ac:dyDescent="0.2">
      <c r="A1657">
        <v>1655</v>
      </c>
      <c r="B1657">
        <f t="shared" si="26"/>
        <v>0</v>
      </c>
      <c r="C1657">
        <f>SUM($B$2:B1657)/A1657</f>
        <v>60.483383685800604</v>
      </c>
    </row>
    <row r="1658" spans="1:3" x14ac:dyDescent="0.2">
      <c r="A1658">
        <v>1656</v>
      </c>
      <c r="B1658">
        <f t="shared" si="26"/>
        <v>0</v>
      </c>
      <c r="C1658">
        <f>SUM($B$2:B1658)/A1658</f>
        <v>60.446859903381643</v>
      </c>
    </row>
    <row r="1659" spans="1:3" x14ac:dyDescent="0.2">
      <c r="A1659">
        <v>1657</v>
      </c>
      <c r="B1659">
        <f t="shared" si="26"/>
        <v>0</v>
      </c>
      <c r="C1659">
        <f>SUM($B$2:B1659)/A1659</f>
        <v>60.410380205190101</v>
      </c>
    </row>
    <row r="1660" spans="1:3" x14ac:dyDescent="0.2">
      <c r="A1660">
        <v>1658</v>
      </c>
      <c r="B1660">
        <f t="shared" si="26"/>
        <v>0</v>
      </c>
      <c r="C1660">
        <f>SUM($B$2:B1660)/A1660</f>
        <v>60.373944511459591</v>
      </c>
    </row>
    <row r="1661" spans="1:3" x14ac:dyDescent="0.2">
      <c r="A1661">
        <v>1659</v>
      </c>
      <c r="B1661">
        <f t="shared" si="26"/>
        <v>0</v>
      </c>
      <c r="C1661">
        <f>SUM($B$2:B1661)/A1661</f>
        <v>60.337552742616033</v>
      </c>
    </row>
    <row r="1662" spans="1:3" x14ac:dyDescent="0.2">
      <c r="A1662">
        <v>1660</v>
      </c>
      <c r="B1662">
        <f t="shared" si="26"/>
        <v>0</v>
      </c>
      <c r="C1662">
        <f>SUM($B$2:B1662)/A1662</f>
        <v>60.30120481927711</v>
      </c>
    </row>
    <row r="1663" spans="1:3" x14ac:dyDescent="0.2">
      <c r="A1663">
        <v>1661</v>
      </c>
      <c r="B1663">
        <f t="shared" si="26"/>
        <v>0</v>
      </c>
      <c r="C1663">
        <f>SUM($B$2:B1663)/A1663</f>
        <v>60.264900662251655</v>
      </c>
    </row>
    <row r="1664" spans="1:3" x14ac:dyDescent="0.2">
      <c r="A1664">
        <v>1662</v>
      </c>
      <c r="B1664">
        <f t="shared" si="26"/>
        <v>0</v>
      </c>
      <c r="C1664">
        <f>SUM($B$2:B1664)/A1664</f>
        <v>60.22864019253911</v>
      </c>
    </row>
    <row r="1665" spans="1:3" x14ac:dyDescent="0.2">
      <c r="A1665">
        <v>1663</v>
      </c>
      <c r="B1665">
        <f t="shared" si="26"/>
        <v>0</v>
      </c>
      <c r="C1665">
        <f>SUM($B$2:B1665)/A1665</f>
        <v>60.192423331328925</v>
      </c>
    </row>
    <row r="1666" spans="1:3" x14ac:dyDescent="0.2">
      <c r="A1666">
        <v>1664</v>
      </c>
      <c r="B1666">
        <f t="shared" si="26"/>
        <v>0</v>
      </c>
      <c r="C1666">
        <f>SUM($B$2:B1666)/A1666</f>
        <v>60.15625</v>
      </c>
    </row>
    <row r="1667" spans="1:3" x14ac:dyDescent="0.2">
      <c r="A1667">
        <v>1665</v>
      </c>
      <c r="B1667">
        <f t="shared" si="26"/>
        <v>0</v>
      </c>
      <c r="C1667">
        <f>SUM($B$2:B1667)/A1667</f>
        <v>60.12012012012012</v>
      </c>
    </row>
    <row r="1668" spans="1:3" x14ac:dyDescent="0.2">
      <c r="A1668">
        <v>1666</v>
      </c>
      <c r="B1668">
        <f t="shared" si="26"/>
        <v>0</v>
      </c>
      <c r="C1668">
        <f>SUM($B$2:B1668)/A1668</f>
        <v>60.084033613445378</v>
      </c>
    </row>
    <row r="1669" spans="1:3" x14ac:dyDescent="0.2">
      <c r="A1669">
        <v>1667</v>
      </c>
      <c r="B1669">
        <f t="shared" ref="B1669:B1732" si="27">IF((A1668-IF(A1668+1/120&gt;1,ROUNDDOWN(A1668/120,0)*120,0))/20&lt;1,ROUNDDOWN((A1668-120*ROUNDDOWN(A1668/120,0))/2,0)*65+65,0)</f>
        <v>0</v>
      </c>
      <c r="C1669">
        <f>SUM($B$2:B1669)/A1669</f>
        <v>60.047990401919613</v>
      </c>
    </row>
    <row r="1670" spans="1:3" x14ac:dyDescent="0.2">
      <c r="A1670">
        <v>1668</v>
      </c>
      <c r="B1670">
        <f t="shared" si="27"/>
        <v>0</v>
      </c>
      <c r="C1670">
        <f>SUM($B$2:B1670)/A1670</f>
        <v>60.011990407673864</v>
      </c>
    </row>
    <row r="1671" spans="1:3" x14ac:dyDescent="0.2">
      <c r="A1671">
        <v>1669</v>
      </c>
      <c r="B1671">
        <f t="shared" si="27"/>
        <v>0</v>
      </c>
      <c r="C1671">
        <f>SUM($B$2:B1671)/A1671</f>
        <v>59.976033553025765</v>
      </c>
    </row>
    <row r="1672" spans="1:3" x14ac:dyDescent="0.2">
      <c r="A1672">
        <v>1670</v>
      </c>
      <c r="B1672">
        <f t="shared" si="27"/>
        <v>0</v>
      </c>
      <c r="C1672">
        <f>SUM($B$2:B1672)/A1672</f>
        <v>59.940119760479043</v>
      </c>
    </row>
    <row r="1673" spans="1:3" x14ac:dyDescent="0.2">
      <c r="A1673">
        <v>1671</v>
      </c>
      <c r="B1673">
        <f t="shared" si="27"/>
        <v>0</v>
      </c>
      <c r="C1673">
        <f>SUM($B$2:B1673)/A1673</f>
        <v>59.904248952722924</v>
      </c>
    </row>
    <row r="1674" spans="1:3" x14ac:dyDescent="0.2">
      <c r="A1674">
        <v>1672</v>
      </c>
      <c r="B1674">
        <f t="shared" si="27"/>
        <v>0</v>
      </c>
      <c r="C1674">
        <f>SUM($B$2:B1674)/A1674</f>
        <v>59.868421052631582</v>
      </c>
    </row>
    <row r="1675" spans="1:3" x14ac:dyDescent="0.2">
      <c r="A1675">
        <v>1673</v>
      </c>
      <c r="B1675">
        <f t="shared" si="27"/>
        <v>0</v>
      </c>
      <c r="C1675">
        <f>SUM($B$2:B1675)/A1675</f>
        <v>59.8326359832636</v>
      </c>
    </row>
    <row r="1676" spans="1:3" x14ac:dyDescent="0.2">
      <c r="A1676">
        <v>1674</v>
      </c>
      <c r="B1676">
        <f t="shared" si="27"/>
        <v>0</v>
      </c>
      <c r="C1676">
        <f>SUM($B$2:B1676)/A1676</f>
        <v>59.796893667861411</v>
      </c>
    </row>
    <row r="1677" spans="1:3" x14ac:dyDescent="0.2">
      <c r="A1677">
        <v>1675</v>
      </c>
      <c r="B1677">
        <f t="shared" si="27"/>
        <v>0</v>
      </c>
      <c r="C1677">
        <f>SUM($B$2:B1677)/A1677</f>
        <v>59.761194029850749</v>
      </c>
    </row>
    <row r="1678" spans="1:3" x14ac:dyDescent="0.2">
      <c r="A1678">
        <v>1676</v>
      </c>
      <c r="B1678">
        <f t="shared" si="27"/>
        <v>0</v>
      </c>
      <c r="C1678">
        <f>SUM($B$2:B1678)/A1678</f>
        <v>59.725536992840098</v>
      </c>
    </row>
    <row r="1679" spans="1:3" x14ac:dyDescent="0.2">
      <c r="A1679">
        <v>1677</v>
      </c>
      <c r="B1679">
        <f t="shared" si="27"/>
        <v>0</v>
      </c>
      <c r="C1679">
        <f>SUM($B$2:B1679)/A1679</f>
        <v>59.689922480620154</v>
      </c>
    </row>
    <row r="1680" spans="1:3" x14ac:dyDescent="0.2">
      <c r="A1680">
        <v>1678</v>
      </c>
      <c r="B1680">
        <f t="shared" si="27"/>
        <v>0</v>
      </c>
      <c r="C1680">
        <f>SUM($B$2:B1680)/A1680</f>
        <v>59.654350417163286</v>
      </c>
    </row>
    <row r="1681" spans="1:3" x14ac:dyDescent="0.2">
      <c r="A1681">
        <v>1679</v>
      </c>
      <c r="B1681">
        <f t="shared" si="27"/>
        <v>0</v>
      </c>
      <c r="C1681">
        <f>SUM($B$2:B1681)/A1681</f>
        <v>59.618820726622992</v>
      </c>
    </row>
    <row r="1682" spans="1:3" x14ac:dyDescent="0.2">
      <c r="A1682">
        <v>1680</v>
      </c>
      <c r="B1682">
        <f t="shared" si="27"/>
        <v>0</v>
      </c>
      <c r="C1682">
        <f>SUM($B$2:B1682)/A1682</f>
        <v>59.583333333333336</v>
      </c>
    </row>
    <row r="1683" spans="1:3" x14ac:dyDescent="0.2">
      <c r="A1683">
        <v>1681</v>
      </c>
      <c r="B1683">
        <f t="shared" si="27"/>
        <v>65</v>
      </c>
      <c r="C1683">
        <f>SUM($B$2:B1683)/A1683</f>
        <v>59.58655562165378</v>
      </c>
    </row>
    <row r="1684" spans="1:3" x14ac:dyDescent="0.2">
      <c r="A1684">
        <v>1682</v>
      </c>
      <c r="B1684">
        <f t="shared" si="27"/>
        <v>65</v>
      </c>
      <c r="C1684">
        <f>SUM($B$2:B1684)/A1684</f>
        <v>59.589774078478001</v>
      </c>
    </row>
    <row r="1685" spans="1:3" x14ac:dyDescent="0.2">
      <c r="A1685">
        <v>1683</v>
      </c>
      <c r="B1685">
        <f t="shared" si="27"/>
        <v>130</v>
      </c>
      <c r="C1685">
        <f>SUM($B$2:B1685)/A1685</f>
        <v>59.631610219845513</v>
      </c>
    </row>
    <row r="1686" spans="1:3" x14ac:dyDescent="0.2">
      <c r="A1686">
        <v>1684</v>
      </c>
      <c r="B1686">
        <f t="shared" si="27"/>
        <v>130</v>
      </c>
      <c r="C1686">
        <f>SUM($B$2:B1686)/A1686</f>
        <v>59.673396674584325</v>
      </c>
    </row>
    <row r="1687" spans="1:3" x14ac:dyDescent="0.2">
      <c r="A1687">
        <v>1685</v>
      </c>
      <c r="B1687">
        <f t="shared" si="27"/>
        <v>195</v>
      </c>
      <c r="C1687">
        <f>SUM($B$2:B1687)/A1687</f>
        <v>59.753709198813056</v>
      </c>
    </row>
    <row r="1688" spans="1:3" x14ac:dyDescent="0.2">
      <c r="A1688">
        <v>1686</v>
      </c>
      <c r="B1688">
        <f t="shared" si="27"/>
        <v>195</v>
      </c>
      <c r="C1688">
        <f>SUM($B$2:B1688)/A1688</f>
        <v>59.833926453143533</v>
      </c>
    </row>
    <row r="1689" spans="1:3" x14ac:dyDescent="0.2">
      <c r="A1689">
        <v>1687</v>
      </c>
      <c r="B1689">
        <f t="shared" si="27"/>
        <v>260</v>
      </c>
      <c r="C1689">
        <f>SUM($B$2:B1689)/A1689</f>
        <v>59.95257854179016</v>
      </c>
    </row>
    <row r="1690" spans="1:3" x14ac:dyDescent="0.2">
      <c r="A1690">
        <v>1688</v>
      </c>
      <c r="B1690">
        <f t="shared" si="27"/>
        <v>260</v>
      </c>
      <c r="C1690">
        <f>SUM($B$2:B1690)/A1690</f>
        <v>60.071090047393362</v>
      </c>
    </row>
    <row r="1691" spans="1:3" x14ac:dyDescent="0.2">
      <c r="A1691">
        <v>1689</v>
      </c>
      <c r="B1691">
        <f t="shared" si="27"/>
        <v>325</v>
      </c>
      <c r="C1691">
        <f>SUM($B$2:B1691)/A1691</f>
        <v>60.227945529899351</v>
      </c>
    </row>
    <row r="1692" spans="1:3" x14ac:dyDescent="0.2">
      <c r="A1692">
        <v>1690</v>
      </c>
      <c r="B1692">
        <f t="shared" si="27"/>
        <v>325</v>
      </c>
      <c r="C1692">
        <f>SUM($B$2:B1692)/A1692</f>
        <v>60.384615384615387</v>
      </c>
    </row>
    <row r="1693" spans="1:3" x14ac:dyDescent="0.2">
      <c r="A1693">
        <v>1691</v>
      </c>
      <c r="B1693">
        <f t="shared" si="27"/>
        <v>390</v>
      </c>
      <c r="C1693">
        <f>SUM($B$2:B1693)/A1693</f>
        <v>60.579538734476643</v>
      </c>
    </row>
    <row r="1694" spans="1:3" x14ac:dyDescent="0.2">
      <c r="A1694">
        <v>1692</v>
      </c>
      <c r="B1694">
        <f t="shared" si="27"/>
        <v>390</v>
      </c>
      <c r="C1694">
        <f>SUM($B$2:B1694)/A1694</f>
        <v>60.774231678486998</v>
      </c>
    </row>
    <row r="1695" spans="1:3" x14ac:dyDescent="0.2">
      <c r="A1695">
        <v>1693</v>
      </c>
      <c r="B1695">
        <f t="shared" si="27"/>
        <v>455</v>
      </c>
      <c r="C1695">
        <f>SUM($B$2:B1695)/A1695</f>
        <v>61.007088009450676</v>
      </c>
    </row>
    <row r="1696" spans="1:3" x14ac:dyDescent="0.2">
      <c r="A1696">
        <v>1694</v>
      </c>
      <c r="B1696">
        <f t="shared" si="27"/>
        <v>455</v>
      </c>
      <c r="C1696">
        <f>SUM($B$2:B1696)/A1696</f>
        <v>61.239669421487605</v>
      </c>
    </row>
    <row r="1697" spans="1:3" x14ac:dyDescent="0.2">
      <c r="A1697">
        <v>1695</v>
      </c>
      <c r="B1697">
        <f t="shared" si="27"/>
        <v>520</v>
      </c>
      <c r="C1697">
        <f>SUM($B$2:B1697)/A1697</f>
        <v>61.510324483775811</v>
      </c>
    </row>
    <row r="1698" spans="1:3" x14ac:dyDescent="0.2">
      <c r="A1698">
        <v>1696</v>
      </c>
      <c r="B1698">
        <f t="shared" si="27"/>
        <v>520</v>
      </c>
      <c r="C1698">
        <f>SUM($B$2:B1698)/A1698</f>
        <v>61.780660377358494</v>
      </c>
    </row>
    <row r="1699" spans="1:3" x14ac:dyDescent="0.2">
      <c r="A1699">
        <v>1697</v>
      </c>
      <c r="B1699">
        <f t="shared" si="27"/>
        <v>585</v>
      </c>
      <c r="C1699">
        <f>SUM($B$2:B1699)/A1699</f>
        <v>62.088980553918681</v>
      </c>
    </row>
    <row r="1700" spans="1:3" x14ac:dyDescent="0.2">
      <c r="A1700">
        <v>1698</v>
      </c>
      <c r="B1700">
        <f t="shared" si="27"/>
        <v>585</v>
      </c>
      <c r="C1700">
        <f>SUM($B$2:B1700)/A1700</f>
        <v>62.396937573616022</v>
      </c>
    </row>
    <row r="1701" spans="1:3" x14ac:dyDescent="0.2">
      <c r="A1701">
        <v>1699</v>
      </c>
      <c r="B1701">
        <f t="shared" si="27"/>
        <v>650</v>
      </c>
      <c r="C1701">
        <f>SUM($B$2:B1701)/A1701</f>
        <v>62.742789876397879</v>
      </c>
    </row>
    <row r="1702" spans="1:3" x14ac:dyDescent="0.2">
      <c r="A1702">
        <v>1700</v>
      </c>
      <c r="B1702">
        <f t="shared" si="27"/>
        <v>650</v>
      </c>
      <c r="C1702">
        <f>SUM($B$2:B1702)/A1702</f>
        <v>63.088235294117645</v>
      </c>
    </row>
    <row r="1703" spans="1:3" x14ac:dyDescent="0.2">
      <c r="A1703">
        <v>1701</v>
      </c>
      <c r="B1703">
        <f t="shared" si="27"/>
        <v>0</v>
      </c>
      <c r="C1703">
        <f>SUM($B$2:B1703)/A1703</f>
        <v>63.051146384479715</v>
      </c>
    </row>
    <row r="1704" spans="1:3" x14ac:dyDescent="0.2">
      <c r="A1704">
        <v>1702</v>
      </c>
      <c r="B1704">
        <f t="shared" si="27"/>
        <v>0</v>
      </c>
      <c r="C1704">
        <f>SUM($B$2:B1704)/A1704</f>
        <v>63.014101057579317</v>
      </c>
    </row>
    <row r="1705" spans="1:3" x14ac:dyDescent="0.2">
      <c r="A1705">
        <v>1703</v>
      </c>
      <c r="B1705">
        <f t="shared" si="27"/>
        <v>0</v>
      </c>
      <c r="C1705">
        <f>SUM($B$2:B1705)/A1705</f>
        <v>62.977099236641223</v>
      </c>
    </row>
    <row r="1706" spans="1:3" x14ac:dyDescent="0.2">
      <c r="A1706">
        <v>1704</v>
      </c>
      <c r="B1706">
        <f t="shared" si="27"/>
        <v>0</v>
      </c>
      <c r="C1706">
        <f>SUM($B$2:B1706)/A1706</f>
        <v>62.940140845070424</v>
      </c>
    </row>
    <row r="1707" spans="1:3" x14ac:dyDescent="0.2">
      <c r="A1707">
        <v>1705</v>
      </c>
      <c r="B1707">
        <f t="shared" si="27"/>
        <v>0</v>
      </c>
      <c r="C1707">
        <f>SUM($B$2:B1707)/A1707</f>
        <v>62.903225806451616</v>
      </c>
    </row>
    <row r="1708" spans="1:3" x14ac:dyDescent="0.2">
      <c r="A1708">
        <v>1706</v>
      </c>
      <c r="B1708">
        <f t="shared" si="27"/>
        <v>0</v>
      </c>
      <c r="C1708">
        <f>SUM($B$2:B1708)/A1708</f>
        <v>62.86635404454865</v>
      </c>
    </row>
    <row r="1709" spans="1:3" x14ac:dyDescent="0.2">
      <c r="A1709">
        <v>1707</v>
      </c>
      <c r="B1709">
        <f t="shared" si="27"/>
        <v>0</v>
      </c>
      <c r="C1709">
        <f>SUM($B$2:B1709)/A1709</f>
        <v>62.829525483304039</v>
      </c>
    </row>
    <row r="1710" spans="1:3" x14ac:dyDescent="0.2">
      <c r="A1710">
        <v>1708</v>
      </c>
      <c r="B1710">
        <f t="shared" si="27"/>
        <v>0</v>
      </c>
      <c r="C1710">
        <f>SUM($B$2:B1710)/A1710</f>
        <v>62.792740046838411</v>
      </c>
    </row>
    <row r="1711" spans="1:3" x14ac:dyDescent="0.2">
      <c r="A1711">
        <v>1709</v>
      </c>
      <c r="B1711">
        <f t="shared" si="27"/>
        <v>0</v>
      </c>
      <c r="C1711">
        <f>SUM($B$2:B1711)/A1711</f>
        <v>62.755997659449967</v>
      </c>
    </row>
    <row r="1712" spans="1:3" x14ac:dyDescent="0.2">
      <c r="A1712">
        <v>1710</v>
      </c>
      <c r="B1712">
        <f t="shared" si="27"/>
        <v>0</v>
      </c>
      <c r="C1712">
        <f>SUM($B$2:B1712)/A1712</f>
        <v>62.719298245614034</v>
      </c>
    </row>
    <row r="1713" spans="1:3" x14ac:dyDescent="0.2">
      <c r="A1713">
        <v>1711</v>
      </c>
      <c r="B1713">
        <f t="shared" si="27"/>
        <v>0</v>
      </c>
      <c r="C1713">
        <f>SUM($B$2:B1713)/A1713</f>
        <v>62.682641729982464</v>
      </c>
    </row>
    <row r="1714" spans="1:3" x14ac:dyDescent="0.2">
      <c r="A1714">
        <v>1712</v>
      </c>
      <c r="B1714">
        <f t="shared" si="27"/>
        <v>0</v>
      </c>
      <c r="C1714">
        <f>SUM($B$2:B1714)/A1714</f>
        <v>62.646028037383175</v>
      </c>
    </row>
    <row r="1715" spans="1:3" x14ac:dyDescent="0.2">
      <c r="A1715">
        <v>1713</v>
      </c>
      <c r="B1715">
        <f t="shared" si="27"/>
        <v>0</v>
      </c>
      <c r="C1715">
        <f>SUM($B$2:B1715)/A1715</f>
        <v>62.609457092819618</v>
      </c>
    </row>
    <row r="1716" spans="1:3" x14ac:dyDescent="0.2">
      <c r="A1716">
        <v>1714</v>
      </c>
      <c r="B1716">
        <f t="shared" si="27"/>
        <v>0</v>
      </c>
      <c r="C1716">
        <f>SUM($B$2:B1716)/A1716</f>
        <v>62.572928821470242</v>
      </c>
    </row>
    <row r="1717" spans="1:3" x14ac:dyDescent="0.2">
      <c r="A1717">
        <v>1715</v>
      </c>
      <c r="B1717">
        <f t="shared" si="27"/>
        <v>0</v>
      </c>
      <c r="C1717">
        <f>SUM($B$2:B1717)/A1717</f>
        <v>62.536443148688043</v>
      </c>
    </row>
    <row r="1718" spans="1:3" x14ac:dyDescent="0.2">
      <c r="A1718">
        <v>1716</v>
      </c>
      <c r="B1718">
        <f t="shared" si="27"/>
        <v>0</v>
      </c>
      <c r="C1718">
        <f>SUM($B$2:B1718)/A1718</f>
        <v>62.5</v>
      </c>
    </row>
    <row r="1719" spans="1:3" x14ac:dyDescent="0.2">
      <c r="A1719">
        <v>1717</v>
      </c>
      <c r="B1719">
        <f t="shared" si="27"/>
        <v>0</v>
      </c>
      <c r="C1719">
        <f>SUM($B$2:B1719)/A1719</f>
        <v>62.463599301106584</v>
      </c>
    </row>
    <row r="1720" spans="1:3" x14ac:dyDescent="0.2">
      <c r="A1720">
        <v>1718</v>
      </c>
      <c r="B1720">
        <f t="shared" si="27"/>
        <v>0</v>
      </c>
      <c r="C1720">
        <f>SUM($B$2:B1720)/A1720</f>
        <v>62.427240977881254</v>
      </c>
    </row>
    <row r="1721" spans="1:3" x14ac:dyDescent="0.2">
      <c r="A1721">
        <v>1719</v>
      </c>
      <c r="B1721">
        <f t="shared" si="27"/>
        <v>0</v>
      </c>
      <c r="C1721">
        <f>SUM($B$2:B1721)/A1721</f>
        <v>62.390924956369986</v>
      </c>
    </row>
    <row r="1722" spans="1:3" x14ac:dyDescent="0.2">
      <c r="A1722">
        <v>1720</v>
      </c>
      <c r="B1722">
        <f t="shared" si="27"/>
        <v>0</v>
      </c>
      <c r="C1722">
        <f>SUM($B$2:B1722)/A1722</f>
        <v>62.354651162790695</v>
      </c>
    </row>
    <row r="1723" spans="1:3" x14ac:dyDescent="0.2">
      <c r="A1723">
        <v>1721</v>
      </c>
      <c r="B1723">
        <f t="shared" si="27"/>
        <v>0</v>
      </c>
      <c r="C1723">
        <f>SUM($B$2:B1723)/A1723</f>
        <v>62.318419523532832</v>
      </c>
    </row>
    <row r="1724" spans="1:3" x14ac:dyDescent="0.2">
      <c r="A1724">
        <v>1722</v>
      </c>
      <c r="B1724">
        <f t="shared" si="27"/>
        <v>0</v>
      </c>
      <c r="C1724">
        <f>SUM($B$2:B1724)/A1724</f>
        <v>62.282229965156795</v>
      </c>
    </row>
    <row r="1725" spans="1:3" x14ac:dyDescent="0.2">
      <c r="A1725">
        <v>1723</v>
      </c>
      <c r="B1725">
        <f t="shared" si="27"/>
        <v>0</v>
      </c>
      <c r="C1725">
        <f>SUM($B$2:B1725)/A1725</f>
        <v>62.246082414393499</v>
      </c>
    </row>
    <row r="1726" spans="1:3" x14ac:dyDescent="0.2">
      <c r="A1726">
        <v>1724</v>
      </c>
      <c r="B1726">
        <f t="shared" si="27"/>
        <v>0</v>
      </c>
      <c r="C1726">
        <f>SUM($B$2:B1726)/A1726</f>
        <v>62.209976798143849</v>
      </c>
    </row>
    <row r="1727" spans="1:3" x14ac:dyDescent="0.2">
      <c r="A1727">
        <v>1725</v>
      </c>
      <c r="B1727">
        <f t="shared" si="27"/>
        <v>0</v>
      </c>
      <c r="C1727">
        <f>SUM($B$2:B1727)/A1727</f>
        <v>62.173913043478258</v>
      </c>
    </row>
    <row r="1728" spans="1:3" x14ac:dyDescent="0.2">
      <c r="A1728">
        <v>1726</v>
      </c>
      <c r="B1728">
        <f t="shared" si="27"/>
        <v>0</v>
      </c>
      <c r="C1728">
        <f>SUM($B$2:B1728)/A1728</f>
        <v>62.137891077636155</v>
      </c>
    </row>
    <row r="1729" spans="1:3" x14ac:dyDescent="0.2">
      <c r="A1729">
        <v>1727</v>
      </c>
      <c r="B1729">
        <f t="shared" si="27"/>
        <v>0</v>
      </c>
      <c r="C1729">
        <f>SUM($B$2:B1729)/A1729</f>
        <v>62.101910828025481</v>
      </c>
    </row>
    <row r="1730" spans="1:3" x14ac:dyDescent="0.2">
      <c r="A1730">
        <v>1728</v>
      </c>
      <c r="B1730">
        <f t="shared" si="27"/>
        <v>0</v>
      </c>
      <c r="C1730">
        <f>SUM($B$2:B1730)/A1730</f>
        <v>62.065972222222221</v>
      </c>
    </row>
    <row r="1731" spans="1:3" x14ac:dyDescent="0.2">
      <c r="A1731">
        <v>1729</v>
      </c>
      <c r="B1731">
        <f t="shared" si="27"/>
        <v>0</v>
      </c>
      <c r="C1731">
        <f>SUM($B$2:B1731)/A1731</f>
        <v>62.030075187969928</v>
      </c>
    </row>
    <row r="1732" spans="1:3" x14ac:dyDescent="0.2">
      <c r="A1732">
        <v>1730</v>
      </c>
      <c r="B1732">
        <f t="shared" si="27"/>
        <v>0</v>
      </c>
      <c r="C1732">
        <f>SUM($B$2:B1732)/A1732</f>
        <v>61.994219653179194</v>
      </c>
    </row>
    <row r="1733" spans="1:3" x14ac:dyDescent="0.2">
      <c r="A1733">
        <v>1731</v>
      </c>
      <c r="B1733">
        <f t="shared" ref="B1733:B1796" si="28">IF((A1732-IF(A1732+1/120&gt;1,ROUNDDOWN(A1732/120,0)*120,0))/20&lt;1,ROUNDDOWN((A1732-120*ROUNDDOWN(A1732/120,0))/2,0)*65+65,0)</f>
        <v>0</v>
      </c>
      <c r="C1733">
        <f>SUM($B$2:B1733)/A1733</f>
        <v>61.958405545927207</v>
      </c>
    </row>
    <row r="1734" spans="1:3" x14ac:dyDescent="0.2">
      <c r="A1734">
        <v>1732</v>
      </c>
      <c r="B1734">
        <f t="shared" si="28"/>
        <v>0</v>
      </c>
      <c r="C1734">
        <f>SUM($B$2:B1734)/A1734</f>
        <v>61.922632794457272</v>
      </c>
    </row>
    <row r="1735" spans="1:3" x14ac:dyDescent="0.2">
      <c r="A1735">
        <v>1733</v>
      </c>
      <c r="B1735">
        <f t="shared" si="28"/>
        <v>0</v>
      </c>
      <c r="C1735">
        <f>SUM($B$2:B1735)/A1735</f>
        <v>61.8869013271783</v>
      </c>
    </row>
    <row r="1736" spans="1:3" x14ac:dyDescent="0.2">
      <c r="A1736">
        <v>1734</v>
      </c>
      <c r="B1736">
        <f t="shared" si="28"/>
        <v>0</v>
      </c>
      <c r="C1736">
        <f>SUM($B$2:B1736)/A1736</f>
        <v>61.851211072664363</v>
      </c>
    </row>
    <row r="1737" spans="1:3" x14ac:dyDescent="0.2">
      <c r="A1737">
        <v>1735</v>
      </c>
      <c r="B1737">
        <f t="shared" si="28"/>
        <v>0</v>
      </c>
      <c r="C1737">
        <f>SUM($B$2:B1737)/A1737</f>
        <v>61.815561959654175</v>
      </c>
    </row>
    <row r="1738" spans="1:3" x14ac:dyDescent="0.2">
      <c r="A1738">
        <v>1736</v>
      </c>
      <c r="B1738">
        <f t="shared" si="28"/>
        <v>0</v>
      </c>
      <c r="C1738">
        <f>SUM($B$2:B1738)/A1738</f>
        <v>61.77995391705069</v>
      </c>
    </row>
    <row r="1739" spans="1:3" x14ac:dyDescent="0.2">
      <c r="A1739">
        <v>1737</v>
      </c>
      <c r="B1739">
        <f t="shared" si="28"/>
        <v>0</v>
      </c>
      <c r="C1739">
        <f>SUM($B$2:B1739)/A1739</f>
        <v>61.744386873920554</v>
      </c>
    </row>
    <row r="1740" spans="1:3" x14ac:dyDescent="0.2">
      <c r="A1740">
        <v>1738</v>
      </c>
      <c r="B1740">
        <f t="shared" si="28"/>
        <v>0</v>
      </c>
      <c r="C1740">
        <f>SUM($B$2:B1740)/A1740</f>
        <v>61.708860759493668</v>
      </c>
    </row>
    <row r="1741" spans="1:3" x14ac:dyDescent="0.2">
      <c r="A1741">
        <v>1739</v>
      </c>
      <c r="B1741">
        <f t="shared" si="28"/>
        <v>0</v>
      </c>
      <c r="C1741">
        <f>SUM($B$2:B1741)/A1741</f>
        <v>61.673375503162738</v>
      </c>
    </row>
    <row r="1742" spans="1:3" x14ac:dyDescent="0.2">
      <c r="A1742">
        <v>1740</v>
      </c>
      <c r="B1742">
        <f t="shared" si="28"/>
        <v>0</v>
      </c>
      <c r="C1742">
        <f>SUM($B$2:B1742)/A1742</f>
        <v>61.637931034482762</v>
      </c>
    </row>
    <row r="1743" spans="1:3" x14ac:dyDescent="0.2">
      <c r="A1743">
        <v>1741</v>
      </c>
      <c r="B1743">
        <f t="shared" si="28"/>
        <v>0</v>
      </c>
      <c r="C1743">
        <f>SUM($B$2:B1743)/A1743</f>
        <v>61.602527283170595</v>
      </c>
    </row>
    <row r="1744" spans="1:3" x14ac:dyDescent="0.2">
      <c r="A1744">
        <v>1742</v>
      </c>
      <c r="B1744">
        <f t="shared" si="28"/>
        <v>0</v>
      </c>
      <c r="C1744">
        <f>SUM($B$2:B1744)/A1744</f>
        <v>61.567164179104481</v>
      </c>
    </row>
    <row r="1745" spans="1:3" x14ac:dyDescent="0.2">
      <c r="A1745">
        <v>1743</v>
      </c>
      <c r="B1745">
        <f t="shared" si="28"/>
        <v>0</v>
      </c>
      <c r="C1745">
        <f>SUM($B$2:B1745)/A1745</f>
        <v>61.531841652323578</v>
      </c>
    </row>
    <row r="1746" spans="1:3" x14ac:dyDescent="0.2">
      <c r="A1746">
        <v>1744</v>
      </c>
      <c r="B1746">
        <f t="shared" si="28"/>
        <v>0</v>
      </c>
      <c r="C1746">
        <f>SUM($B$2:B1746)/A1746</f>
        <v>61.496559633027523</v>
      </c>
    </row>
    <row r="1747" spans="1:3" x14ac:dyDescent="0.2">
      <c r="A1747">
        <v>1745</v>
      </c>
      <c r="B1747">
        <f t="shared" si="28"/>
        <v>0</v>
      </c>
      <c r="C1747">
        <f>SUM($B$2:B1747)/A1747</f>
        <v>61.46131805157593</v>
      </c>
    </row>
    <row r="1748" spans="1:3" x14ac:dyDescent="0.2">
      <c r="A1748">
        <v>1746</v>
      </c>
      <c r="B1748">
        <f t="shared" si="28"/>
        <v>0</v>
      </c>
      <c r="C1748">
        <f>SUM($B$2:B1748)/A1748</f>
        <v>61.426116838487971</v>
      </c>
    </row>
    <row r="1749" spans="1:3" x14ac:dyDescent="0.2">
      <c r="A1749">
        <v>1747</v>
      </c>
      <c r="B1749">
        <f t="shared" si="28"/>
        <v>0</v>
      </c>
      <c r="C1749">
        <f>SUM($B$2:B1749)/A1749</f>
        <v>61.390955924441897</v>
      </c>
    </row>
    <row r="1750" spans="1:3" x14ac:dyDescent="0.2">
      <c r="A1750">
        <v>1748</v>
      </c>
      <c r="B1750">
        <f t="shared" si="28"/>
        <v>0</v>
      </c>
      <c r="C1750">
        <f>SUM($B$2:B1750)/A1750</f>
        <v>61.355835240274601</v>
      </c>
    </row>
    <row r="1751" spans="1:3" x14ac:dyDescent="0.2">
      <c r="A1751">
        <v>1749</v>
      </c>
      <c r="B1751">
        <f t="shared" si="28"/>
        <v>0</v>
      </c>
      <c r="C1751">
        <f>SUM($B$2:B1751)/A1751</f>
        <v>61.320754716981135</v>
      </c>
    </row>
    <row r="1752" spans="1:3" x14ac:dyDescent="0.2">
      <c r="A1752">
        <v>1750</v>
      </c>
      <c r="B1752">
        <f t="shared" si="28"/>
        <v>0</v>
      </c>
      <c r="C1752">
        <f>SUM($B$2:B1752)/A1752</f>
        <v>61.285714285714285</v>
      </c>
    </row>
    <row r="1753" spans="1:3" x14ac:dyDescent="0.2">
      <c r="A1753">
        <v>1751</v>
      </c>
      <c r="B1753">
        <f t="shared" si="28"/>
        <v>0</v>
      </c>
      <c r="C1753">
        <f>SUM($B$2:B1753)/A1753</f>
        <v>61.250713877784122</v>
      </c>
    </row>
    <row r="1754" spans="1:3" x14ac:dyDescent="0.2">
      <c r="A1754">
        <v>1752</v>
      </c>
      <c r="B1754">
        <f t="shared" si="28"/>
        <v>0</v>
      </c>
      <c r="C1754">
        <f>SUM($B$2:B1754)/A1754</f>
        <v>61.215753424657535</v>
      </c>
    </row>
    <row r="1755" spans="1:3" x14ac:dyDescent="0.2">
      <c r="A1755">
        <v>1753</v>
      </c>
      <c r="B1755">
        <f t="shared" si="28"/>
        <v>0</v>
      </c>
      <c r="C1755">
        <f>SUM($B$2:B1755)/A1755</f>
        <v>61.180832857957789</v>
      </c>
    </row>
    <row r="1756" spans="1:3" x14ac:dyDescent="0.2">
      <c r="A1756">
        <v>1754</v>
      </c>
      <c r="B1756">
        <f t="shared" si="28"/>
        <v>0</v>
      </c>
      <c r="C1756">
        <f>SUM($B$2:B1756)/A1756</f>
        <v>61.145952109464083</v>
      </c>
    </row>
    <row r="1757" spans="1:3" x14ac:dyDescent="0.2">
      <c r="A1757">
        <v>1755</v>
      </c>
      <c r="B1757">
        <f t="shared" si="28"/>
        <v>0</v>
      </c>
      <c r="C1757">
        <f>SUM($B$2:B1757)/A1757</f>
        <v>61.111111111111114</v>
      </c>
    </row>
    <row r="1758" spans="1:3" x14ac:dyDescent="0.2">
      <c r="A1758">
        <v>1756</v>
      </c>
      <c r="B1758">
        <f t="shared" si="28"/>
        <v>0</v>
      </c>
      <c r="C1758">
        <f>SUM($B$2:B1758)/A1758</f>
        <v>61.07630979498861</v>
      </c>
    </row>
    <row r="1759" spans="1:3" x14ac:dyDescent="0.2">
      <c r="A1759">
        <v>1757</v>
      </c>
      <c r="B1759">
        <f t="shared" si="28"/>
        <v>0</v>
      </c>
      <c r="C1759">
        <f>SUM($B$2:B1759)/A1759</f>
        <v>61.041548093340921</v>
      </c>
    </row>
    <row r="1760" spans="1:3" x14ac:dyDescent="0.2">
      <c r="A1760">
        <v>1758</v>
      </c>
      <c r="B1760">
        <f t="shared" si="28"/>
        <v>0</v>
      </c>
      <c r="C1760">
        <f>SUM($B$2:B1760)/A1760</f>
        <v>61.00682593856655</v>
      </c>
    </row>
    <row r="1761" spans="1:3" x14ac:dyDescent="0.2">
      <c r="A1761">
        <v>1759</v>
      </c>
      <c r="B1761">
        <f t="shared" si="28"/>
        <v>0</v>
      </c>
      <c r="C1761">
        <f>SUM($B$2:B1761)/A1761</f>
        <v>60.972143263217738</v>
      </c>
    </row>
    <row r="1762" spans="1:3" x14ac:dyDescent="0.2">
      <c r="A1762">
        <v>1760</v>
      </c>
      <c r="B1762">
        <f t="shared" si="28"/>
        <v>0</v>
      </c>
      <c r="C1762">
        <f>SUM($B$2:B1762)/A1762</f>
        <v>60.9375</v>
      </c>
    </row>
    <row r="1763" spans="1:3" x14ac:dyDescent="0.2">
      <c r="A1763">
        <v>1761</v>
      </c>
      <c r="B1763">
        <f t="shared" si="28"/>
        <v>0</v>
      </c>
      <c r="C1763">
        <f>SUM($B$2:B1763)/A1763</f>
        <v>60.902896081771722</v>
      </c>
    </row>
    <row r="1764" spans="1:3" x14ac:dyDescent="0.2">
      <c r="A1764">
        <v>1762</v>
      </c>
      <c r="B1764">
        <f t="shared" si="28"/>
        <v>0</v>
      </c>
      <c r="C1764">
        <f>SUM($B$2:B1764)/A1764</f>
        <v>60.868331441543702</v>
      </c>
    </row>
    <row r="1765" spans="1:3" x14ac:dyDescent="0.2">
      <c r="A1765">
        <v>1763</v>
      </c>
      <c r="B1765">
        <f t="shared" si="28"/>
        <v>0</v>
      </c>
      <c r="C1765">
        <f>SUM($B$2:B1765)/A1765</f>
        <v>60.833806012478732</v>
      </c>
    </row>
    <row r="1766" spans="1:3" x14ac:dyDescent="0.2">
      <c r="A1766">
        <v>1764</v>
      </c>
      <c r="B1766">
        <f t="shared" si="28"/>
        <v>0</v>
      </c>
      <c r="C1766">
        <f>SUM($B$2:B1766)/A1766</f>
        <v>60.799319727891159</v>
      </c>
    </row>
    <row r="1767" spans="1:3" x14ac:dyDescent="0.2">
      <c r="A1767">
        <v>1765</v>
      </c>
      <c r="B1767">
        <f t="shared" si="28"/>
        <v>0</v>
      </c>
      <c r="C1767">
        <f>SUM($B$2:B1767)/A1767</f>
        <v>60.76487252124646</v>
      </c>
    </row>
    <row r="1768" spans="1:3" x14ac:dyDescent="0.2">
      <c r="A1768">
        <v>1766</v>
      </c>
      <c r="B1768">
        <f t="shared" si="28"/>
        <v>0</v>
      </c>
      <c r="C1768">
        <f>SUM($B$2:B1768)/A1768</f>
        <v>60.730464326160813</v>
      </c>
    </row>
    <row r="1769" spans="1:3" x14ac:dyDescent="0.2">
      <c r="A1769">
        <v>1767</v>
      </c>
      <c r="B1769">
        <f t="shared" si="28"/>
        <v>0</v>
      </c>
      <c r="C1769">
        <f>SUM($B$2:B1769)/A1769</f>
        <v>60.696095076400681</v>
      </c>
    </row>
    <row r="1770" spans="1:3" x14ac:dyDescent="0.2">
      <c r="A1770">
        <v>1768</v>
      </c>
      <c r="B1770">
        <f t="shared" si="28"/>
        <v>0</v>
      </c>
      <c r="C1770">
        <f>SUM($B$2:B1770)/A1770</f>
        <v>60.661764705882355</v>
      </c>
    </row>
    <row r="1771" spans="1:3" x14ac:dyDescent="0.2">
      <c r="A1771">
        <v>1769</v>
      </c>
      <c r="B1771">
        <f t="shared" si="28"/>
        <v>0</v>
      </c>
      <c r="C1771">
        <f>SUM($B$2:B1771)/A1771</f>
        <v>60.627473148671562</v>
      </c>
    </row>
    <row r="1772" spans="1:3" x14ac:dyDescent="0.2">
      <c r="A1772">
        <v>1770</v>
      </c>
      <c r="B1772">
        <f t="shared" si="28"/>
        <v>0</v>
      </c>
      <c r="C1772">
        <f>SUM($B$2:B1772)/A1772</f>
        <v>60.593220338983052</v>
      </c>
    </row>
    <row r="1773" spans="1:3" x14ac:dyDescent="0.2">
      <c r="A1773">
        <v>1771</v>
      </c>
      <c r="B1773">
        <f t="shared" si="28"/>
        <v>0</v>
      </c>
      <c r="C1773">
        <f>SUM($B$2:B1773)/A1773</f>
        <v>60.559006211180126</v>
      </c>
    </row>
    <row r="1774" spans="1:3" x14ac:dyDescent="0.2">
      <c r="A1774">
        <v>1772</v>
      </c>
      <c r="B1774">
        <f t="shared" si="28"/>
        <v>0</v>
      </c>
      <c r="C1774">
        <f>SUM($B$2:B1774)/A1774</f>
        <v>60.524830699774263</v>
      </c>
    </row>
    <row r="1775" spans="1:3" x14ac:dyDescent="0.2">
      <c r="A1775">
        <v>1773</v>
      </c>
      <c r="B1775">
        <f t="shared" si="28"/>
        <v>0</v>
      </c>
      <c r="C1775">
        <f>SUM($B$2:B1775)/A1775</f>
        <v>60.490693739424707</v>
      </c>
    </row>
    <row r="1776" spans="1:3" x14ac:dyDescent="0.2">
      <c r="A1776">
        <v>1774</v>
      </c>
      <c r="B1776">
        <f t="shared" si="28"/>
        <v>0</v>
      </c>
      <c r="C1776">
        <f>SUM($B$2:B1776)/A1776</f>
        <v>60.456595264937995</v>
      </c>
    </row>
    <row r="1777" spans="1:3" x14ac:dyDescent="0.2">
      <c r="A1777">
        <v>1775</v>
      </c>
      <c r="B1777">
        <f t="shared" si="28"/>
        <v>0</v>
      </c>
      <c r="C1777">
        <f>SUM($B$2:B1777)/A1777</f>
        <v>60.422535211267608</v>
      </c>
    </row>
    <row r="1778" spans="1:3" x14ac:dyDescent="0.2">
      <c r="A1778">
        <v>1776</v>
      </c>
      <c r="B1778">
        <f t="shared" si="28"/>
        <v>0</v>
      </c>
      <c r="C1778">
        <f>SUM($B$2:B1778)/A1778</f>
        <v>60.388513513513516</v>
      </c>
    </row>
    <row r="1779" spans="1:3" x14ac:dyDescent="0.2">
      <c r="A1779">
        <v>1777</v>
      </c>
      <c r="B1779">
        <f t="shared" si="28"/>
        <v>0</v>
      </c>
      <c r="C1779">
        <f>SUM($B$2:B1779)/A1779</f>
        <v>60.354530106921779</v>
      </c>
    </row>
    <row r="1780" spans="1:3" x14ac:dyDescent="0.2">
      <c r="A1780">
        <v>1778</v>
      </c>
      <c r="B1780">
        <f t="shared" si="28"/>
        <v>0</v>
      </c>
      <c r="C1780">
        <f>SUM($B$2:B1780)/A1780</f>
        <v>60.320584926884138</v>
      </c>
    </row>
    <row r="1781" spans="1:3" x14ac:dyDescent="0.2">
      <c r="A1781">
        <v>1779</v>
      </c>
      <c r="B1781">
        <f t="shared" si="28"/>
        <v>0</v>
      </c>
      <c r="C1781">
        <f>SUM($B$2:B1781)/A1781</f>
        <v>60.286677908937605</v>
      </c>
    </row>
    <row r="1782" spans="1:3" x14ac:dyDescent="0.2">
      <c r="A1782">
        <v>1780</v>
      </c>
      <c r="B1782">
        <f t="shared" si="28"/>
        <v>0</v>
      </c>
      <c r="C1782">
        <f>SUM($B$2:B1782)/A1782</f>
        <v>60.252808988764045</v>
      </c>
    </row>
    <row r="1783" spans="1:3" x14ac:dyDescent="0.2">
      <c r="A1783">
        <v>1781</v>
      </c>
      <c r="B1783">
        <f t="shared" si="28"/>
        <v>0</v>
      </c>
      <c r="C1783">
        <f>SUM($B$2:B1783)/A1783</f>
        <v>60.21897810218978</v>
      </c>
    </row>
    <row r="1784" spans="1:3" x14ac:dyDescent="0.2">
      <c r="A1784">
        <v>1782</v>
      </c>
      <c r="B1784">
        <f t="shared" si="28"/>
        <v>0</v>
      </c>
      <c r="C1784">
        <f>SUM($B$2:B1784)/A1784</f>
        <v>60.185185185185183</v>
      </c>
    </row>
    <row r="1785" spans="1:3" x14ac:dyDescent="0.2">
      <c r="A1785">
        <v>1783</v>
      </c>
      <c r="B1785">
        <f t="shared" si="28"/>
        <v>0</v>
      </c>
      <c r="C1785">
        <f>SUM($B$2:B1785)/A1785</f>
        <v>60.151430173864277</v>
      </c>
    </row>
    <row r="1786" spans="1:3" x14ac:dyDescent="0.2">
      <c r="A1786">
        <v>1784</v>
      </c>
      <c r="B1786">
        <f t="shared" si="28"/>
        <v>0</v>
      </c>
      <c r="C1786">
        <f>SUM($B$2:B1786)/A1786</f>
        <v>60.117713004484308</v>
      </c>
    </row>
    <row r="1787" spans="1:3" x14ac:dyDescent="0.2">
      <c r="A1787">
        <v>1785</v>
      </c>
      <c r="B1787">
        <f t="shared" si="28"/>
        <v>0</v>
      </c>
      <c r="C1787">
        <f>SUM($B$2:B1787)/A1787</f>
        <v>60.084033613445378</v>
      </c>
    </row>
    <row r="1788" spans="1:3" x14ac:dyDescent="0.2">
      <c r="A1788">
        <v>1786</v>
      </c>
      <c r="B1788">
        <f t="shared" si="28"/>
        <v>0</v>
      </c>
      <c r="C1788">
        <f>SUM($B$2:B1788)/A1788</f>
        <v>60.050391937290037</v>
      </c>
    </row>
    <row r="1789" spans="1:3" x14ac:dyDescent="0.2">
      <c r="A1789">
        <v>1787</v>
      </c>
      <c r="B1789">
        <f t="shared" si="28"/>
        <v>0</v>
      </c>
      <c r="C1789">
        <f>SUM($B$2:B1789)/A1789</f>
        <v>60.016787912702853</v>
      </c>
    </row>
    <row r="1790" spans="1:3" x14ac:dyDescent="0.2">
      <c r="A1790">
        <v>1788</v>
      </c>
      <c r="B1790">
        <f t="shared" si="28"/>
        <v>0</v>
      </c>
      <c r="C1790">
        <f>SUM($B$2:B1790)/A1790</f>
        <v>59.983221476510067</v>
      </c>
    </row>
    <row r="1791" spans="1:3" x14ac:dyDescent="0.2">
      <c r="A1791">
        <v>1789</v>
      </c>
      <c r="B1791">
        <f t="shared" si="28"/>
        <v>0</v>
      </c>
      <c r="C1791">
        <f>SUM($B$2:B1791)/A1791</f>
        <v>59.94969256567915</v>
      </c>
    </row>
    <row r="1792" spans="1:3" x14ac:dyDescent="0.2">
      <c r="A1792">
        <v>1790</v>
      </c>
      <c r="B1792">
        <f t="shared" si="28"/>
        <v>0</v>
      </c>
      <c r="C1792">
        <f>SUM($B$2:B1792)/A1792</f>
        <v>59.916201117318437</v>
      </c>
    </row>
    <row r="1793" spans="1:3" x14ac:dyDescent="0.2">
      <c r="A1793">
        <v>1791</v>
      </c>
      <c r="B1793">
        <f t="shared" si="28"/>
        <v>0</v>
      </c>
      <c r="C1793">
        <f>SUM($B$2:B1793)/A1793</f>
        <v>59.882747068676714</v>
      </c>
    </row>
    <row r="1794" spans="1:3" x14ac:dyDescent="0.2">
      <c r="A1794">
        <v>1792</v>
      </c>
      <c r="B1794">
        <f t="shared" si="28"/>
        <v>0</v>
      </c>
      <c r="C1794">
        <f>SUM($B$2:B1794)/A1794</f>
        <v>59.849330357142854</v>
      </c>
    </row>
    <row r="1795" spans="1:3" x14ac:dyDescent="0.2">
      <c r="A1795">
        <v>1793</v>
      </c>
      <c r="B1795">
        <f t="shared" si="28"/>
        <v>0</v>
      </c>
      <c r="C1795">
        <f>SUM($B$2:B1795)/A1795</f>
        <v>59.815950920245399</v>
      </c>
    </row>
    <row r="1796" spans="1:3" x14ac:dyDescent="0.2">
      <c r="A1796">
        <v>1794</v>
      </c>
      <c r="B1796">
        <f t="shared" si="28"/>
        <v>0</v>
      </c>
      <c r="C1796">
        <f>SUM($B$2:B1796)/A1796</f>
        <v>59.782608695652172</v>
      </c>
    </row>
    <row r="1797" spans="1:3" x14ac:dyDescent="0.2">
      <c r="A1797">
        <v>1795</v>
      </c>
      <c r="B1797">
        <f t="shared" ref="B1797:B1802" si="29">IF((A1796-IF(A1796+1/120&gt;1,ROUNDDOWN(A1796/120,0)*120,0))/20&lt;1,ROUNDDOWN((A1796-120*ROUNDDOWN(A1796/120,0))/2,0)*65+65,0)</f>
        <v>0</v>
      </c>
      <c r="C1797">
        <f>SUM($B$2:B1797)/A1797</f>
        <v>59.749303621169915</v>
      </c>
    </row>
    <row r="1798" spans="1:3" x14ac:dyDescent="0.2">
      <c r="A1798">
        <v>1796</v>
      </c>
      <c r="B1798">
        <f t="shared" si="29"/>
        <v>0</v>
      </c>
      <c r="C1798">
        <f>SUM($B$2:B1798)/A1798</f>
        <v>59.716035634743875</v>
      </c>
    </row>
    <row r="1799" spans="1:3" x14ac:dyDescent="0.2">
      <c r="A1799">
        <v>1797</v>
      </c>
      <c r="B1799">
        <f t="shared" si="29"/>
        <v>0</v>
      </c>
      <c r="C1799">
        <f>SUM($B$2:B1799)/A1799</f>
        <v>59.682804674457429</v>
      </c>
    </row>
    <row r="1800" spans="1:3" x14ac:dyDescent="0.2">
      <c r="A1800">
        <v>1798</v>
      </c>
      <c r="B1800">
        <f t="shared" si="29"/>
        <v>0</v>
      </c>
      <c r="C1800">
        <f>SUM($B$2:B1800)/A1800</f>
        <v>59.649610678531701</v>
      </c>
    </row>
    <row r="1801" spans="1:3" x14ac:dyDescent="0.2">
      <c r="A1801">
        <v>1799</v>
      </c>
      <c r="B1801">
        <f t="shared" si="29"/>
        <v>0</v>
      </c>
      <c r="C1801">
        <f>SUM($B$2:B1801)/A1801</f>
        <v>59.616453585325182</v>
      </c>
    </row>
    <row r="1802" spans="1:3" x14ac:dyDescent="0.2">
      <c r="A1802">
        <v>1800</v>
      </c>
      <c r="B1802">
        <f t="shared" si="29"/>
        <v>0</v>
      </c>
      <c r="C1802">
        <f>SUM($B$2:B1802)/A1802</f>
        <v>59.583333333333336</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O1802"/>
  <sheetViews>
    <sheetView workbookViewId="0">
      <selection activeCell="G16" sqref="G16"/>
    </sheetView>
  </sheetViews>
  <sheetFormatPr defaultRowHeight="12.75" x14ac:dyDescent="0.2"/>
  <cols>
    <col min="1" max="1" width="14" customWidth="1"/>
    <col min="2" max="2" width="15.85546875" customWidth="1"/>
    <col min="3" max="3" width="24" customWidth="1"/>
    <col min="5" max="5" width="13.7109375" customWidth="1"/>
    <col min="6" max="6" width="16.5703125" customWidth="1"/>
    <col min="7" max="7" width="24.7109375" customWidth="1"/>
    <col min="9" max="9" width="13.42578125" customWidth="1"/>
    <col min="10" max="10" width="16.140625" customWidth="1"/>
    <col min="11" max="11" width="24.140625" customWidth="1"/>
    <col min="13" max="13" width="13.7109375" customWidth="1"/>
    <col min="14" max="14" width="15.85546875" customWidth="1"/>
    <col min="15" max="15" width="24.28515625" customWidth="1"/>
  </cols>
  <sheetData>
    <row r="1" spans="1:15" x14ac:dyDescent="0.2">
      <c r="A1" s="12" t="s">
        <v>767</v>
      </c>
      <c r="B1" s="12" t="s">
        <v>685</v>
      </c>
      <c r="C1" s="12" t="s">
        <v>885</v>
      </c>
      <c r="E1" s="12" t="s">
        <v>767</v>
      </c>
      <c r="F1" s="12" t="s">
        <v>685</v>
      </c>
      <c r="G1" s="12" t="s">
        <v>885</v>
      </c>
      <c r="I1" s="12" t="s">
        <v>767</v>
      </c>
      <c r="J1" s="12" t="s">
        <v>685</v>
      </c>
      <c r="K1" s="12" t="s">
        <v>885</v>
      </c>
      <c r="M1" s="12" t="s">
        <v>767</v>
      </c>
      <c r="N1" s="12" t="s">
        <v>685</v>
      </c>
      <c r="O1" s="12" t="s">
        <v>885</v>
      </c>
    </row>
    <row r="2" spans="1:15" x14ac:dyDescent="0.2">
      <c r="A2" s="11">
        <v>0</v>
      </c>
      <c r="B2" s="11">
        <f t="shared" ref="B2" ca="1" si="0">IF(ARCap-IF((A2-IF(A2/180&gt;1,ROUNDDOWN(A2/180,0)*180,0))/30&lt;1,IF(200*15*BaseSpeed/60*(YellowConnects+WhiteMHConnects+WhiteOHConnects+HoJConnects+WindfuryConnects+SSConnects+IronfoeConnects)*(A2-180*ROUNDDOWN(A2/180,0))&gt;1200,1200,200*15*BaseSpeed/60*(YellowConnects+WhiteMHConnects+WhiteOHConnects+HoJConnects+WindfuryConnects+SSConnects+IronfoeConnects)*(A2-180*ROUNDDOWN(A2/180,0))),0)&lt;0,ARCap,IF((A2-IF(A2/180&gt;1,ROUNDDOWN(A2/180,0)*180,0))/30&lt;1,IF(200*15*BaseSpeed/60*(YellowConnects+WhiteMHConnects+WhiteOHConnects+HoJConnects+WindfuryConnects+SSConnects+IronfoeConnects)*(A2-180*ROUNDDOWN(A2/180,0))&gt;1200,1200,200*15*BaseSpeed/60*(YellowConnects+WhiteMHConnects+WhiteOHConnects+HoJConnects+WindfuryConnects+SSConnects+IronfoeConnects)*(A2-180*ROUNDDOWN(A2/180,0))),0))</f>
        <v>0</v>
      </c>
      <c r="C2" s="11">
        <v>0</v>
      </c>
      <c r="E2" s="11">
        <v>0</v>
      </c>
      <c r="F2" s="11">
        <f t="shared" ref="F2" ca="1" si="1">IF(ARCap-IF((A2-IF(A2/180&gt;1,ROUNDDOWN(A2/180,0)*180,0))/30&lt;1,IF(200*15*BaseSpeed/60*(YellowConnects20+WhiteMHConnects20+WhiteOHConnects20+HoJConnects20+WindfuryConnects20+SSConnects20+IronfoeConnects20)*(A2-180*ROUNDDOWN(A2/180,0))&gt;1200,1200,200*15*BaseSpeed/60*(YellowConnects20+WhiteMHConnects20+WhiteOHConnects20+HoJConnects20+WindfuryConnects20+SSConnects20+IronfoeConnects20)*(A2-180*ROUNDDOWN(A2/180,0))),0)&lt;0,ARCap,IF((A2-IF(A2/180&gt;1,ROUNDDOWN(A2/180,0)*180,0))/30&lt;1,IF(200*15*BaseSpeed/60*(YellowConnects20+WhiteMHConnects20+WhiteOHConnects20+HoJConnects20+WindfuryConnects20+SSConnects20+IronfoeConnects20)*(A2-180*ROUNDDOWN(A2/180,0))&gt;1200,1200,200*15*BaseSpeed/60*(YellowConnects20+WhiteMHConnects20+WhiteOHConnects20+HoJConnects20+WindfuryConnects20+SSConnects20+IronfoeConnects20)*(A2-180*ROUNDDOWN(A2/180,0))),0))</f>
        <v>0</v>
      </c>
      <c r="G2" s="11">
        <v>0</v>
      </c>
      <c r="I2">
        <v>0</v>
      </c>
      <c r="J2">
        <v>0</v>
      </c>
      <c r="K2">
        <v>0</v>
      </c>
      <c r="M2">
        <v>0</v>
      </c>
      <c r="N2">
        <v>0</v>
      </c>
      <c r="O2">
        <v>0</v>
      </c>
    </row>
    <row r="3" spans="1:15" x14ac:dyDescent="0.2">
      <c r="A3">
        <v>1</v>
      </c>
      <c r="B3" s="11">
        <f t="shared" ref="B3:B66" ca="1" si="2">IF(ARCap-IF((A3-IF(A3/180&gt;1,ROUNDDOWN(A3/180,0)*180,0))/30&lt;=1,IF(200*15*BaseSpeed/60*(YellowConnects+WhiteMHConnects+WhiteOHConnects+HoJConnects+WindfuryConnects+SSConnects+IronfoeConnects)*(A3-180*ROUNDDOWN(A3/180,0))&gt;1200,1200,200*15*BaseSpeed/60*(YellowConnects+WhiteMHConnects+WhiteOHConnects+HoJConnects+WindfuryConnects+SSConnects+IronfoeConnects)*(A3-180*ROUNDDOWN(A3/180,0))),0)&lt;0,ARCap,IF((A3-IF(A3/180&gt;1,ROUNDDOWN(A2/180,0)*180,0))/30&lt;=1,IF(200*15*BaseSpeed/60*(YellowConnects+WhiteMHConnects+WhiteOHConnects+HoJConnects+WindfuryConnects+SSConnects+IronfoeConnects)*(A3-180*ROUNDDOWN(A3/180,0))&gt;1200,1200,200*15*BaseSpeed/60*(YellowConnects+WhiteMHConnects+WhiteOHConnects+HoJConnects+WindfuryConnects+SSConnects+IronfoeConnects)*(A3-180*ROUNDDOWN(A3/180,0))),0))</f>
        <v>118.58197021550885</v>
      </c>
      <c r="C3">
        <f ca="1">SUM($B$2:B3)/A3</f>
        <v>118.58197021550885</v>
      </c>
      <c r="E3">
        <v>1</v>
      </c>
      <c r="F3" s="11">
        <f t="shared" ref="F3:F66" ca="1" si="3">IF(ARCap-IF((A3-IF(A3/180&gt;1,ROUNDDOWN(A3/180,0)*180,0))/30&lt;=1,IF(200*15*BaseSpeed/60*(YellowConnects20+WhiteMHConnects20+WhiteOHConnects20+HoJConnects20+WindfuryConnects20+SSConnects20+IronfoeConnects20)*(A3-180*ROUNDDOWN(A3/180,0))&gt;1200,1200,200*15*BaseSpeed/60*(YellowConnects20+WhiteMHConnects20+WhiteOHConnects20+HoJConnects20+WindfuryConnects20+SSConnects20+IronfoeConnects20)*(A3-180*ROUNDDOWN(A3/180,0))),0)&lt;0,ARCap,IF((A3-IF(A3/180&gt;1,ROUNDDOWN(A3/180,0)*180,0))/30&lt;=1,IF(200*15*BaseSpeed/60*(YellowConnects20+WhiteMHConnects20+WhiteOHConnects20+HoJConnects20+WindfuryConnects20+SSConnects20+IronfoeConnects20)*(A3-180*ROUNDDOWN(A3/180,0))&gt;1200,1200,200*15*BaseSpeed/60*(YellowConnects20+WhiteMHConnects20+WhiteOHConnects20+HoJConnects20+WindfuryConnects20+SSConnects20+IronfoeConnects20)*(A3-180*ROUNDDOWN(A3/180,0))),0))</f>
        <v>142.35764995105063</v>
      </c>
      <c r="G3">
        <f ca="1">SUM($F$2:F3)/E3</f>
        <v>142.35764995105063</v>
      </c>
      <c r="I3">
        <v>1</v>
      </c>
      <c r="J3">
        <f t="shared" ref="J3:J66" ca="1" si="4">IF(ARCap-(B3+BRE)&lt;0,ARCap,B3+BRE)</f>
        <v>118.58197021550885</v>
      </c>
      <c r="K3">
        <f ca="1">SUM($J$2:J3)/I3</f>
        <v>118.58197021550885</v>
      </c>
      <c r="M3">
        <v>1</v>
      </c>
      <c r="N3">
        <f t="shared" ref="N3:N66" ca="1" si="5">IF(ARCap-(F3+BREArmorReduction20)&lt;0,ARCap,F3+BREArmorReduction20)</f>
        <v>142.35764995105063</v>
      </c>
      <c r="O3">
        <f ca="1">SUM($N$2:N3)/M3</f>
        <v>142.35764995105063</v>
      </c>
    </row>
    <row r="4" spans="1:15" x14ac:dyDescent="0.2">
      <c r="A4">
        <v>2</v>
      </c>
      <c r="B4" s="11">
        <f t="shared" ca="1" si="2"/>
        <v>237.16394043101769</v>
      </c>
      <c r="C4">
        <f ca="1">SUM($B$2:B4)/A4</f>
        <v>177.87295532326328</v>
      </c>
      <c r="E4">
        <v>2</v>
      </c>
      <c r="F4" s="11">
        <f t="shared" ca="1" si="3"/>
        <v>284.71529990210126</v>
      </c>
      <c r="G4">
        <f ca="1">SUM($F$2:F4)/E4</f>
        <v>213.53647492657595</v>
      </c>
      <c r="I4">
        <v>2</v>
      </c>
      <c r="J4">
        <f t="shared" ca="1" si="4"/>
        <v>237.16394043101769</v>
      </c>
      <c r="K4">
        <f ca="1">SUM($J$2:J4)/I4</f>
        <v>177.87295532326328</v>
      </c>
      <c r="M4">
        <v>2</v>
      </c>
      <c r="N4">
        <f t="shared" ca="1" si="5"/>
        <v>284.71529990210126</v>
      </c>
      <c r="O4">
        <f ca="1">SUM($N$2:N4)/M4</f>
        <v>213.53647492657595</v>
      </c>
    </row>
    <row r="5" spans="1:15" x14ac:dyDescent="0.2">
      <c r="A5">
        <v>3</v>
      </c>
      <c r="B5" s="11">
        <f t="shared" ca="1" si="2"/>
        <v>355.74591064652657</v>
      </c>
      <c r="C5">
        <f ca="1">SUM($B$2:B5)/A5</f>
        <v>237.16394043101772</v>
      </c>
      <c r="E5">
        <v>3</v>
      </c>
      <c r="F5" s="11">
        <f t="shared" ca="1" si="3"/>
        <v>427.0729498531519</v>
      </c>
      <c r="G5">
        <f ca="1">SUM($F$2:F5)/E5</f>
        <v>284.71529990210126</v>
      </c>
      <c r="I5">
        <v>3</v>
      </c>
      <c r="J5">
        <f t="shared" ca="1" si="4"/>
        <v>355.74591064652657</v>
      </c>
      <c r="K5">
        <f ca="1">SUM($J$2:J5)/I5</f>
        <v>237.16394043101772</v>
      </c>
      <c r="M5">
        <v>3</v>
      </c>
      <c r="N5">
        <f t="shared" ca="1" si="5"/>
        <v>427.0729498531519</v>
      </c>
      <c r="O5">
        <f ca="1">SUM($N$2:N5)/M5</f>
        <v>284.71529990210126</v>
      </c>
    </row>
    <row r="6" spans="1:15" x14ac:dyDescent="0.2">
      <c r="A6">
        <v>4</v>
      </c>
      <c r="B6" s="11">
        <f t="shared" ca="1" si="2"/>
        <v>474.32788086203539</v>
      </c>
      <c r="C6">
        <f ca="1">SUM($B$2:B6)/A6</f>
        <v>296.45492553877216</v>
      </c>
      <c r="E6">
        <v>4</v>
      </c>
      <c r="F6" s="11">
        <f t="shared" ca="1" si="3"/>
        <v>569.43059980420253</v>
      </c>
      <c r="G6">
        <f ca="1">SUM($F$2:F6)/E6</f>
        <v>355.89412487762661</v>
      </c>
      <c r="I6">
        <v>4</v>
      </c>
      <c r="J6">
        <f t="shared" ca="1" si="4"/>
        <v>474.32788086203539</v>
      </c>
      <c r="K6">
        <f ca="1">SUM($J$2:J6)/I6</f>
        <v>296.45492553877216</v>
      </c>
      <c r="M6">
        <v>4</v>
      </c>
      <c r="N6">
        <f t="shared" ca="1" si="5"/>
        <v>569.43059980420253</v>
      </c>
      <c r="O6">
        <f ca="1">SUM($N$2:N6)/M6</f>
        <v>355.89412487762661</v>
      </c>
    </row>
    <row r="7" spans="1:15" x14ac:dyDescent="0.2">
      <c r="A7">
        <v>5</v>
      </c>
      <c r="B7" s="11">
        <f t="shared" ca="1" si="2"/>
        <v>592.9098510775442</v>
      </c>
      <c r="C7">
        <f ca="1">SUM($B$2:B7)/A7</f>
        <v>355.74591064652657</v>
      </c>
      <c r="E7">
        <v>5</v>
      </c>
      <c r="F7" s="11">
        <f t="shared" ca="1" si="3"/>
        <v>696</v>
      </c>
      <c r="G7">
        <f ca="1">SUM($F$2:F7)/E7</f>
        <v>423.91529990210131</v>
      </c>
      <c r="I7">
        <v>5</v>
      </c>
      <c r="J7">
        <f t="shared" ca="1" si="4"/>
        <v>592.9098510775442</v>
      </c>
      <c r="K7">
        <f ca="1">SUM($J$2:J7)/I7</f>
        <v>355.74591064652657</v>
      </c>
      <c r="M7">
        <v>5</v>
      </c>
      <c r="N7">
        <f t="shared" ca="1" si="5"/>
        <v>696</v>
      </c>
      <c r="O7">
        <f ca="1">SUM($N$2:N7)/M7</f>
        <v>423.91529990210131</v>
      </c>
    </row>
    <row r="8" spans="1:15" x14ac:dyDescent="0.2">
      <c r="A8">
        <v>6</v>
      </c>
      <c r="B8" s="11">
        <f t="shared" ca="1" si="2"/>
        <v>696</v>
      </c>
      <c r="C8">
        <f ca="1">SUM($B$2:B8)/A8</f>
        <v>412.45492553877216</v>
      </c>
      <c r="E8">
        <v>6</v>
      </c>
      <c r="F8" s="11">
        <f t="shared" ca="1" si="3"/>
        <v>696</v>
      </c>
      <c r="G8">
        <f ca="1">SUM($F$2:F8)/E8</f>
        <v>469.26274991841774</v>
      </c>
      <c r="I8">
        <v>6</v>
      </c>
      <c r="J8">
        <f t="shared" ca="1" si="4"/>
        <v>696</v>
      </c>
      <c r="K8">
        <f ca="1">SUM($J$2:J8)/I8</f>
        <v>412.45492553877216</v>
      </c>
      <c r="M8">
        <v>6</v>
      </c>
      <c r="N8">
        <f t="shared" ca="1" si="5"/>
        <v>696</v>
      </c>
      <c r="O8">
        <f ca="1">SUM($N$2:N8)/M8</f>
        <v>469.26274991841774</v>
      </c>
    </row>
    <row r="9" spans="1:15" x14ac:dyDescent="0.2">
      <c r="A9">
        <v>7</v>
      </c>
      <c r="B9" s="11">
        <f t="shared" ca="1" si="2"/>
        <v>696</v>
      </c>
      <c r="C9">
        <f ca="1">SUM($B$2:B9)/A9</f>
        <v>452.96136474751899</v>
      </c>
      <c r="E9">
        <v>7</v>
      </c>
      <c r="F9" s="11">
        <f t="shared" ca="1" si="3"/>
        <v>696</v>
      </c>
      <c r="G9">
        <f ca="1">SUM($F$2:F9)/E9</f>
        <v>501.65378564435804</v>
      </c>
      <c r="I9">
        <v>7</v>
      </c>
      <c r="J9">
        <f t="shared" ca="1" si="4"/>
        <v>696</v>
      </c>
      <c r="K9">
        <f ca="1">SUM($J$2:J9)/I9</f>
        <v>452.96136474751899</v>
      </c>
      <c r="M9">
        <v>7</v>
      </c>
      <c r="N9">
        <f t="shared" ca="1" si="5"/>
        <v>696</v>
      </c>
      <c r="O9">
        <f ca="1">SUM($N$2:N9)/M9</f>
        <v>501.65378564435804</v>
      </c>
    </row>
    <row r="10" spans="1:15" x14ac:dyDescent="0.2">
      <c r="A10">
        <v>8</v>
      </c>
      <c r="B10" s="11">
        <f t="shared" ca="1" si="2"/>
        <v>696</v>
      </c>
      <c r="C10">
        <f ca="1">SUM($B$2:B10)/A10</f>
        <v>483.34119415407912</v>
      </c>
      <c r="E10">
        <v>8</v>
      </c>
      <c r="F10" s="11">
        <f t="shared" ca="1" si="3"/>
        <v>696</v>
      </c>
      <c r="G10">
        <f ca="1">SUM($F$2:F10)/E10</f>
        <v>525.9470624388133</v>
      </c>
      <c r="I10">
        <v>8</v>
      </c>
      <c r="J10">
        <f t="shared" ca="1" si="4"/>
        <v>696</v>
      </c>
      <c r="K10">
        <f ca="1">SUM($J$2:J10)/I10</f>
        <v>483.34119415407912</v>
      </c>
      <c r="M10">
        <v>8</v>
      </c>
      <c r="N10">
        <f t="shared" ca="1" si="5"/>
        <v>696</v>
      </c>
      <c r="O10">
        <f ca="1">SUM($N$2:N10)/M10</f>
        <v>525.9470624388133</v>
      </c>
    </row>
    <row r="11" spans="1:15" x14ac:dyDescent="0.2">
      <c r="A11">
        <v>9</v>
      </c>
      <c r="B11" s="11">
        <f t="shared" ca="1" si="2"/>
        <v>696</v>
      </c>
      <c r="C11">
        <f ca="1">SUM($B$2:B11)/A11</f>
        <v>506.9699503591815</v>
      </c>
      <c r="E11">
        <v>9</v>
      </c>
      <c r="F11" s="11">
        <f t="shared" ca="1" si="3"/>
        <v>696</v>
      </c>
      <c r="G11">
        <f ca="1">SUM($F$2:F11)/E11</f>
        <v>544.84183327894516</v>
      </c>
      <c r="I11">
        <v>9</v>
      </c>
      <c r="J11">
        <f t="shared" ca="1" si="4"/>
        <v>696</v>
      </c>
      <c r="K11">
        <f ca="1">SUM($J$2:J11)/I11</f>
        <v>506.9699503591815</v>
      </c>
      <c r="M11">
        <v>9</v>
      </c>
      <c r="N11">
        <f t="shared" ca="1" si="5"/>
        <v>696</v>
      </c>
      <c r="O11">
        <f ca="1">SUM($N$2:N11)/M11</f>
        <v>544.84183327894516</v>
      </c>
    </row>
    <row r="12" spans="1:15" x14ac:dyDescent="0.2">
      <c r="A12">
        <v>10</v>
      </c>
      <c r="B12" s="11">
        <f t="shared" ca="1" si="2"/>
        <v>696</v>
      </c>
      <c r="C12">
        <f ca="1">SUM($B$2:B12)/A12</f>
        <v>525.87295532326334</v>
      </c>
      <c r="E12">
        <v>10</v>
      </c>
      <c r="F12" s="11">
        <f t="shared" ca="1" si="3"/>
        <v>696</v>
      </c>
      <c r="G12">
        <f ca="1">SUM($F$2:F12)/E12</f>
        <v>559.9576499510506</v>
      </c>
      <c r="I12">
        <v>10</v>
      </c>
      <c r="J12">
        <f t="shared" ca="1" si="4"/>
        <v>696</v>
      </c>
      <c r="K12">
        <f ca="1">SUM($J$2:J12)/I12</f>
        <v>525.87295532326334</v>
      </c>
      <c r="M12">
        <v>10</v>
      </c>
      <c r="N12">
        <f t="shared" ca="1" si="5"/>
        <v>696</v>
      </c>
      <c r="O12">
        <f ca="1">SUM($N$2:N12)/M12</f>
        <v>559.9576499510506</v>
      </c>
    </row>
    <row r="13" spans="1:15" x14ac:dyDescent="0.2">
      <c r="A13">
        <v>11</v>
      </c>
      <c r="B13" s="11">
        <f t="shared" ca="1" si="2"/>
        <v>696</v>
      </c>
      <c r="C13">
        <f ca="1">SUM($B$2:B13)/A13</f>
        <v>541.33905029387574</v>
      </c>
      <c r="E13">
        <v>11</v>
      </c>
      <c r="F13" s="11">
        <f t="shared" ca="1" si="3"/>
        <v>696</v>
      </c>
      <c r="G13">
        <f ca="1">SUM($F$2:F13)/E13</f>
        <v>572.32513631913696</v>
      </c>
      <c r="I13">
        <v>11</v>
      </c>
      <c r="J13">
        <f t="shared" ca="1" si="4"/>
        <v>696</v>
      </c>
      <c r="K13">
        <f ca="1">SUM($J$2:J13)/I13</f>
        <v>541.33905029387574</v>
      </c>
      <c r="M13">
        <v>11</v>
      </c>
      <c r="N13">
        <f t="shared" ca="1" si="5"/>
        <v>696</v>
      </c>
      <c r="O13">
        <f ca="1">SUM($N$2:N13)/M13</f>
        <v>572.32513631913696</v>
      </c>
    </row>
    <row r="14" spans="1:15" x14ac:dyDescent="0.2">
      <c r="A14">
        <v>12</v>
      </c>
      <c r="B14" s="11">
        <f t="shared" ca="1" si="2"/>
        <v>696</v>
      </c>
      <c r="C14">
        <f ca="1">SUM($B$2:B14)/A14</f>
        <v>554.22746276938608</v>
      </c>
      <c r="E14">
        <v>12</v>
      </c>
      <c r="F14" s="11">
        <f t="shared" ca="1" si="3"/>
        <v>696</v>
      </c>
      <c r="G14">
        <f ca="1">SUM($F$2:F14)/E14</f>
        <v>582.63137495920887</v>
      </c>
      <c r="I14">
        <v>12</v>
      </c>
      <c r="J14">
        <f t="shared" ca="1" si="4"/>
        <v>696</v>
      </c>
      <c r="K14">
        <f ca="1">SUM($J$2:J14)/I14</f>
        <v>554.22746276938608</v>
      </c>
      <c r="M14">
        <v>12</v>
      </c>
      <c r="N14">
        <f t="shared" ca="1" si="5"/>
        <v>696</v>
      </c>
      <c r="O14">
        <f ca="1">SUM($N$2:N14)/M14</f>
        <v>582.63137495920887</v>
      </c>
    </row>
    <row r="15" spans="1:15" x14ac:dyDescent="0.2">
      <c r="A15">
        <v>13</v>
      </c>
      <c r="B15" s="11">
        <f t="shared" ca="1" si="2"/>
        <v>696</v>
      </c>
      <c r="C15">
        <f ca="1">SUM($B$2:B15)/A15</f>
        <v>565.13304255635637</v>
      </c>
      <c r="E15">
        <v>13</v>
      </c>
      <c r="F15" s="11">
        <f t="shared" ca="1" si="3"/>
        <v>696</v>
      </c>
      <c r="G15">
        <f ca="1">SUM($F$2:F15)/E15</f>
        <v>591.35203842388512</v>
      </c>
      <c r="I15">
        <v>13</v>
      </c>
      <c r="J15">
        <f t="shared" ca="1" si="4"/>
        <v>696</v>
      </c>
      <c r="K15">
        <f ca="1">SUM($J$2:J15)/I15</f>
        <v>565.13304255635637</v>
      </c>
      <c r="M15">
        <v>13</v>
      </c>
      <c r="N15">
        <f t="shared" ca="1" si="5"/>
        <v>696</v>
      </c>
      <c r="O15">
        <f ca="1">SUM($N$2:N15)/M15</f>
        <v>591.35203842388512</v>
      </c>
    </row>
    <row r="16" spans="1:15" x14ac:dyDescent="0.2">
      <c r="A16">
        <v>14</v>
      </c>
      <c r="B16" s="11">
        <f t="shared" ca="1" si="2"/>
        <v>696</v>
      </c>
      <c r="C16">
        <f ca="1">SUM($B$2:B16)/A16</f>
        <v>574.48068237375958</v>
      </c>
      <c r="E16">
        <v>14</v>
      </c>
      <c r="F16" s="11">
        <f t="shared" ca="1" si="3"/>
        <v>696</v>
      </c>
      <c r="G16">
        <f ca="1">SUM($F$2:F16)/E16</f>
        <v>598.82689282217893</v>
      </c>
      <c r="I16">
        <v>14</v>
      </c>
      <c r="J16">
        <f t="shared" ca="1" si="4"/>
        <v>696</v>
      </c>
      <c r="K16">
        <f ca="1">SUM($J$2:J16)/I16</f>
        <v>574.48068237375958</v>
      </c>
      <c r="M16">
        <v>14</v>
      </c>
      <c r="N16">
        <f t="shared" ca="1" si="5"/>
        <v>696</v>
      </c>
      <c r="O16">
        <f ca="1">SUM($N$2:N16)/M16</f>
        <v>598.82689282217893</v>
      </c>
    </row>
    <row r="17" spans="1:15" x14ac:dyDescent="0.2">
      <c r="A17">
        <v>15</v>
      </c>
      <c r="B17" s="11">
        <f t="shared" ca="1" si="2"/>
        <v>696</v>
      </c>
      <c r="C17">
        <f ca="1">SUM($B$2:B17)/A17</f>
        <v>582.58197021550893</v>
      </c>
      <c r="E17">
        <v>15</v>
      </c>
      <c r="F17" s="11">
        <f t="shared" ca="1" si="3"/>
        <v>696</v>
      </c>
      <c r="G17">
        <f ca="1">SUM($F$2:F17)/E17</f>
        <v>605.30509996736703</v>
      </c>
      <c r="I17">
        <v>15</v>
      </c>
      <c r="J17">
        <f t="shared" ca="1" si="4"/>
        <v>696</v>
      </c>
      <c r="K17">
        <f ca="1">SUM($J$2:J17)/I17</f>
        <v>582.58197021550893</v>
      </c>
      <c r="M17">
        <v>15</v>
      </c>
      <c r="N17">
        <f t="shared" ca="1" si="5"/>
        <v>696</v>
      </c>
      <c r="O17">
        <f ca="1">SUM($N$2:N17)/M17</f>
        <v>605.30509996736703</v>
      </c>
    </row>
    <row r="18" spans="1:15" x14ac:dyDescent="0.2">
      <c r="A18">
        <v>16</v>
      </c>
      <c r="B18" s="11">
        <f t="shared" ca="1" si="2"/>
        <v>696</v>
      </c>
      <c r="C18">
        <f ca="1">SUM($B$2:B18)/A18</f>
        <v>589.67059707703959</v>
      </c>
      <c r="E18">
        <v>16</v>
      </c>
      <c r="F18" s="11">
        <f t="shared" ca="1" si="3"/>
        <v>696</v>
      </c>
      <c r="G18">
        <f ca="1">SUM($F$2:F18)/E18</f>
        <v>610.9735312194066</v>
      </c>
      <c r="I18">
        <v>16</v>
      </c>
      <c r="J18">
        <f t="shared" ca="1" si="4"/>
        <v>696</v>
      </c>
      <c r="K18">
        <f ca="1">SUM($J$2:J18)/I18</f>
        <v>589.67059707703959</v>
      </c>
      <c r="M18">
        <v>16</v>
      </c>
      <c r="N18">
        <f t="shared" ca="1" si="5"/>
        <v>696</v>
      </c>
      <c r="O18">
        <f ca="1">SUM($N$2:N18)/M18</f>
        <v>610.9735312194066</v>
      </c>
    </row>
    <row r="19" spans="1:15" x14ac:dyDescent="0.2">
      <c r="A19">
        <v>17</v>
      </c>
      <c r="B19" s="11">
        <f t="shared" ca="1" si="2"/>
        <v>696</v>
      </c>
      <c r="C19">
        <f ca="1">SUM($B$2:B19)/A19</f>
        <v>595.92526783721371</v>
      </c>
      <c r="E19">
        <v>17</v>
      </c>
      <c r="F19" s="11">
        <f t="shared" ca="1" si="3"/>
        <v>696</v>
      </c>
      <c r="G19">
        <f ca="1">SUM($F$2:F19)/E19</f>
        <v>615.97508820650035</v>
      </c>
      <c r="I19">
        <v>17</v>
      </c>
      <c r="J19">
        <f t="shared" ca="1" si="4"/>
        <v>696</v>
      </c>
      <c r="K19">
        <f ca="1">SUM($J$2:J19)/I19</f>
        <v>595.92526783721371</v>
      </c>
      <c r="M19">
        <v>17</v>
      </c>
      <c r="N19">
        <f t="shared" ca="1" si="5"/>
        <v>696</v>
      </c>
      <c r="O19">
        <f ca="1">SUM($N$2:N19)/M19</f>
        <v>615.97508820650035</v>
      </c>
    </row>
    <row r="20" spans="1:15" x14ac:dyDescent="0.2">
      <c r="A20">
        <v>18</v>
      </c>
      <c r="B20" s="11">
        <f t="shared" ca="1" si="2"/>
        <v>696</v>
      </c>
      <c r="C20">
        <f ca="1">SUM($B$2:B20)/A20</f>
        <v>601.48497517959072</v>
      </c>
      <c r="E20">
        <v>18</v>
      </c>
      <c r="F20" s="11">
        <f t="shared" ca="1" si="3"/>
        <v>696</v>
      </c>
      <c r="G20">
        <f ca="1">SUM($F$2:F20)/E20</f>
        <v>620.42091663947258</v>
      </c>
      <c r="I20">
        <v>18</v>
      </c>
      <c r="J20">
        <f t="shared" ca="1" si="4"/>
        <v>696</v>
      </c>
      <c r="K20">
        <f ca="1">SUM($J$2:J20)/I20</f>
        <v>601.48497517959072</v>
      </c>
      <c r="M20">
        <v>18</v>
      </c>
      <c r="N20">
        <f t="shared" ca="1" si="5"/>
        <v>696</v>
      </c>
      <c r="O20">
        <f ca="1">SUM($N$2:N20)/M20</f>
        <v>620.42091663947258</v>
      </c>
    </row>
    <row r="21" spans="1:15" x14ac:dyDescent="0.2">
      <c r="A21">
        <v>19</v>
      </c>
      <c r="B21" s="11">
        <f t="shared" ca="1" si="2"/>
        <v>696</v>
      </c>
      <c r="C21">
        <f ca="1">SUM($B$2:B21)/A21</f>
        <v>606.45945017013855</v>
      </c>
      <c r="E21">
        <v>19</v>
      </c>
      <c r="F21" s="11">
        <f t="shared" ca="1" si="3"/>
        <v>696</v>
      </c>
      <c r="G21">
        <f ca="1">SUM($F$2:F21)/E21</f>
        <v>624.39876313213188</v>
      </c>
      <c r="I21">
        <v>19</v>
      </c>
      <c r="J21">
        <f t="shared" ca="1" si="4"/>
        <v>696</v>
      </c>
      <c r="K21">
        <f ca="1">SUM($J$2:J21)/I21</f>
        <v>606.45945017013855</v>
      </c>
      <c r="M21">
        <v>19</v>
      </c>
      <c r="N21">
        <f t="shared" ca="1" si="5"/>
        <v>696</v>
      </c>
      <c r="O21">
        <f ca="1">SUM($N$2:N21)/M21</f>
        <v>624.39876313213188</v>
      </c>
    </row>
    <row r="22" spans="1:15" x14ac:dyDescent="0.2">
      <c r="A22">
        <v>20</v>
      </c>
      <c r="B22" s="11">
        <f t="shared" ca="1" si="2"/>
        <v>696</v>
      </c>
      <c r="C22">
        <f ca="1">SUM($B$2:B22)/A22</f>
        <v>610.93647766163167</v>
      </c>
      <c r="E22">
        <v>20</v>
      </c>
      <c r="F22" s="11">
        <f t="shared" ca="1" si="3"/>
        <v>696</v>
      </c>
      <c r="G22">
        <f ca="1">SUM($F$2:F22)/E22</f>
        <v>627.9788249755253</v>
      </c>
      <c r="I22">
        <v>20</v>
      </c>
      <c r="J22">
        <f t="shared" ca="1" si="4"/>
        <v>696</v>
      </c>
      <c r="K22">
        <f ca="1">SUM($J$2:J22)/I22</f>
        <v>610.93647766163167</v>
      </c>
      <c r="M22">
        <v>20</v>
      </c>
      <c r="N22">
        <f t="shared" ca="1" si="5"/>
        <v>696</v>
      </c>
      <c r="O22">
        <f ca="1">SUM($N$2:N22)/M22</f>
        <v>627.9788249755253</v>
      </c>
    </row>
    <row r="23" spans="1:15" x14ac:dyDescent="0.2">
      <c r="A23">
        <v>21</v>
      </c>
      <c r="B23" s="11">
        <f t="shared" ca="1" si="2"/>
        <v>696</v>
      </c>
      <c r="C23">
        <f ca="1">SUM($B$2:B23)/A23</f>
        <v>614.98712158250635</v>
      </c>
      <c r="E23">
        <v>21</v>
      </c>
      <c r="F23" s="11">
        <f t="shared" ca="1" si="3"/>
        <v>696</v>
      </c>
      <c r="G23">
        <f ca="1">SUM($F$2:F23)/E23</f>
        <v>631.21792854811929</v>
      </c>
      <c r="I23">
        <v>21</v>
      </c>
      <c r="J23">
        <f t="shared" ca="1" si="4"/>
        <v>696</v>
      </c>
      <c r="K23">
        <f ca="1">SUM($J$2:J23)/I23</f>
        <v>614.98712158250635</v>
      </c>
      <c r="M23">
        <v>21</v>
      </c>
      <c r="N23">
        <f t="shared" ca="1" si="5"/>
        <v>696</v>
      </c>
      <c r="O23">
        <f ca="1">SUM($N$2:N23)/M23</f>
        <v>631.21792854811929</v>
      </c>
    </row>
    <row r="24" spans="1:15" x14ac:dyDescent="0.2">
      <c r="A24">
        <v>22</v>
      </c>
      <c r="B24" s="11">
        <f t="shared" ca="1" si="2"/>
        <v>696</v>
      </c>
      <c r="C24">
        <f ca="1">SUM($B$2:B24)/A24</f>
        <v>618.66952514693787</v>
      </c>
      <c r="E24">
        <v>22</v>
      </c>
      <c r="F24" s="11">
        <f t="shared" ca="1" si="3"/>
        <v>696</v>
      </c>
      <c r="G24">
        <f ca="1">SUM($F$2:F24)/E24</f>
        <v>634.16256815956842</v>
      </c>
      <c r="I24">
        <v>22</v>
      </c>
      <c r="J24">
        <f t="shared" ca="1" si="4"/>
        <v>696</v>
      </c>
      <c r="K24">
        <f ca="1">SUM($J$2:J24)/I24</f>
        <v>618.66952514693787</v>
      </c>
      <c r="M24">
        <v>22</v>
      </c>
      <c r="N24">
        <f t="shared" ca="1" si="5"/>
        <v>696</v>
      </c>
      <c r="O24">
        <f ca="1">SUM($N$2:N24)/M24</f>
        <v>634.16256815956842</v>
      </c>
    </row>
    <row r="25" spans="1:15" x14ac:dyDescent="0.2">
      <c r="A25">
        <v>23</v>
      </c>
      <c r="B25" s="11">
        <f t="shared" ca="1" si="2"/>
        <v>696</v>
      </c>
      <c r="C25">
        <f ca="1">SUM($B$2:B25)/A25</f>
        <v>622.0317197057667</v>
      </c>
      <c r="E25">
        <v>23</v>
      </c>
      <c r="F25" s="11">
        <f t="shared" ca="1" si="3"/>
        <v>696</v>
      </c>
      <c r="G25">
        <f ca="1">SUM($F$2:F25)/E25</f>
        <v>636.85115215263068</v>
      </c>
      <c r="I25">
        <v>23</v>
      </c>
      <c r="J25">
        <f t="shared" ca="1" si="4"/>
        <v>696</v>
      </c>
      <c r="K25">
        <f ca="1">SUM($J$2:J25)/I25</f>
        <v>622.0317197057667</v>
      </c>
      <c r="M25">
        <v>23</v>
      </c>
      <c r="N25">
        <f t="shared" ca="1" si="5"/>
        <v>696</v>
      </c>
      <c r="O25">
        <f ca="1">SUM($N$2:N25)/M25</f>
        <v>636.85115215263068</v>
      </c>
    </row>
    <row r="26" spans="1:15" x14ac:dyDescent="0.2">
      <c r="A26">
        <v>24</v>
      </c>
      <c r="B26" s="11">
        <f t="shared" ca="1" si="2"/>
        <v>696</v>
      </c>
      <c r="C26">
        <f ca="1">SUM($B$2:B26)/A26</f>
        <v>625.1137313846931</v>
      </c>
      <c r="E26">
        <v>24</v>
      </c>
      <c r="F26" s="11">
        <f t="shared" ca="1" si="3"/>
        <v>696</v>
      </c>
      <c r="G26">
        <f ca="1">SUM($F$2:F26)/E26</f>
        <v>639.31568747960443</v>
      </c>
      <c r="I26">
        <v>24</v>
      </c>
      <c r="J26">
        <f t="shared" ca="1" si="4"/>
        <v>696</v>
      </c>
      <c r="K26">
        <f ca="1">SUM($J$2:J26)/I26</f>
        <v>625.1137313846931</v>
      </c>
      <c r="M26">
        <v>24</v>
      </c>
      <c r="N26">
        <f t="shared" ca="1" si="5"/>
        <v>696</v>
      </c>
      <c r="O26">
        <f ca="1">SUM($N$2:N26)/M26</f>
        <v>639.31568747960443</v>
      </c>
    </row>
    <row r="27" spans="1:15" x14ac:dyDescent="0.2">
      <c r="A27">
        <v>25</v>
      </c>
      <c r="B27" s="11">
        <f t="shared" ca="1" si="2"/>
        <v>696</v>
      </c>
      <c r="C27">
        <f ca="1">SUM($B$2:B27)/A27</f>
        <v>627.94918212930531</v>
      </c>
      <c r="E27">
        <v>25</v>
      </c>
      <c r="F27" s="11">
        <f t="shared" ca="1" si="3"/>
        <v>696</v>
      </c>
      <c r="G27">
        <f ca="1">SUM($F$2:F27)/E27</f>
        <v>641.58305998042022</v>
      </c>
      <c r="I27">
        <v>25</v>
      </c>
      <c r="J27">
        <f t="shared" ca="1" si="4"/>
        <v>696</v>
      </c>
      <c r="K27">
        <f ca="1">SUM($J$2:J27)/I27</f>
        <v>627.94918212930531</v>
      </c>
      <c r="M27">
        <v>25</v>
      </c>
      <c r="N27">
        <f t="shared" ca="1" si="5"/>
        <v>696</v>
      </c>
      <c r="O27">
        <f ca="1">SUM($N$2:N27)/M27</f>
        <v>641.58305998042022</v>
      </c>
    </row>
    <row r="28" spans="1:15" x14ac:dyDescent="0.2">
      <c r="A28">
        <v>26</v>
      </c>
      <c r="B28" s="11">
        <f t="shared" ca="1" si="2"/>
        <v>696</v>
      </c>
      <c r="C28">
        <f ca="1">SUM($B$2:B28)/A28</f>
        <v>630.56652127817813</v>
      </c>
      <c r="E28">
        <v>26</v>
      </c>
      <c r="F28" s="11">
        <f t="shared" ca="1" si="3"/>
        <v>696</v>
      </c>
      <c r="G28">
        <f ca="1">SUM($F$2:F28)/E28</f>
        <v>643.6760192119425</v>
      </c>
      <c r="I28">
        <v>26</v>
      </c>
      <c r="J28">
        <f t="shared" ca="1" si="4"/>
        <v>696</v>
      </c>
      <c r="K28">
        <f ca="1">SUM($J$2:J28)/I28</f>
        <v>630.56652127817813</v>
      </c>
      <c r="M28">
        <v>26</v>
      </c>
      <c r="N28">
        <f t="shared" ca="1" si="5"/>
        <v>696</v>
      </c>
      <c r="O28">
        <f ca="1">SUM($N$2:N28)/M28</f>
        <v>643.6760192119425</v>
      </c>
    </row>
    <row r="29" spans="1:15" x14ac:dyDescent="0.2">
      <c r="A29">
        <v>27</v>
      </c>
      <c r="B29" s="11">
        <f t="shared" ca="1" si="2"/>
        <v>696</v>
      </c>
      <c r="C29">
        <f ca="1">SUM($B$2:B29)/A29</f>
        <v>632.9899834530604</v>
      </c>
      <c r="E29">
        <v>27</v>
      </c>
      <c r="F29" s="11">
        <f t="shared" ca="1" si="3"/>
        <v>696</v>
      </c>
      <c r="G29">
        <f ca="1">SUM($F$2:F29)/E29</f>
        <v>645.61394442631502</v>
      </c>
      <c r="I29">
        <v>27</v>
      </c>
      <c r="J29">
        <f t="shared" ca="1" si="4"/>
        <v>696</v>
      </c>
      <c r="K29">
        <f ca="1">SUM($J$2:J29)/I29</f>
        <v>632.9899834530604</v>
      </c>
      <c r="M29">
        <v>27</v>
      </c>
      <c r="N29">
        <f t="shared" ca="1" si="5"/>
        <v>696</v>
      </c>
      <c r="O29">
        <f ca="1">SUM($N$2:N29)/M29</f>
        <v>645.61394442631502</v>
      </c>
    </row>
    <row r="30" spans="1:15" x14ac:dyDescent="0.2">
      <c r="A30">
        <v>28</v>
      </c>
      <c r="B30" s="11">
        <f t="shared" ca="1" si="2"/>
        <v>696</v>
      </c>
      <c r="C30">
        <f ca="1">SUM($B$2:B30)/A30</f>
        <v>635.24034118687973</v>
      </c>
      <c r="E30">
        <v>28</v>
      </c>
      <c r="F30" s="11">
        <f t="shared" ca="1" si="3"/>
        <v>696</v>
      </c>
      <c r="G30">
        <f ca="1">SUM($F$2:F30)/E30</f>
        <v>647.41344641108947</v>
      </c>
      <c r="I30">
        <v>28</v>
      </c>
      <c r="J30">
        <f t="shared" ca="1" si="4"/>
        <v>696</v>
      </c>
      <c r="K30">
        <f ca="1">SUM($J$2:J30)/I30</f>
        <v>635.24034118687973</v>
      </c>
      <c r="M30">
        <v>28</v>
      </c>
      <c r="N30">
        <f t="shared" ca="1" si="5"/>
        <v>696</v>
      </c>
      <c r="O30">
        <f ca="1">SUM($N$2:N30)/M30</f>
        <v>647.41344641108947</v>
      </c>
    </row>
    <row r="31" spans="1:15" x14ac:dyDescent="0.2">
      <c r="A31">
        <v>29</v>
      </c>
      <c r="B31" s="11">
        <f t="shared" ca="1" si="2"/>
        <v>696</v>
      </c>
      <c r="C31">
        <f ca="1">SUM($B$2:B31)/A31</f>
        <v>637.33550183560794</v>
      </c>
      <c r="E31">
        <v>29</v>
      </c>
      <c r="F31" s="11">
        <f t="shared" ca="1" si="3"/>
        <v>696</v>
      </c>
      <c r="G31">
        <f ca="1">SUM($F$2:F31)/E31</f>
        <v>649.08884481070709</v>
      </c>
      <c r="I31">
        <v>29</v>
      </c>
      <c r="J31">
        <f t="shared" ca="1" si="4"/>
        <v>696</v>
      </c>
      <c r="K31">
        <f ca="1">SUM($J$2:J31)/I31</f>
        <v>637.33550183560794</v>
      </c>
      <c r="M31">
        <v>29</v>
      </c>
      <c r="N31">
        <f t="shared" ca="1" si="5"/>
        <v>696</v>
      </c>
      <c r="O31">
        <f ca="1">SUM($N$2:N31)/M31</f>
        <v>649.08884481070709</v>
      </c>
    </row>
    <row r="32" spans="1:15" x14ac:dyDescent="0.2">
      <c r="A32">
        <v>30</v>
      </c>
      <c r="B32" s="11">
        <f t="shared" ca="1" si="2"/>
        <v>696</v>
      </c>
      <c r="C32">
        <f ca="1">SUM($B$2:B32)/A32</f>
        <v>639.29098510775441</v>
      </c>
      <c r="E32">
        <v>30</v>
      </c>
      <c r="F32" s="11">
        <f t="shared" ca="1" si="3"/>
        <v>696</v>
      </c>
      <c r="G32">
        <f ca="1">SUM($F$2:F32)/E32</f>
        <v>650.65254998368357</v>
      </c>
      <c r="I32">
        <v>30</v>
      </c>
      <c r="J32">
        <f t="shared" ca="1" si="4"/>
        <v>696</v>
      </c>
      <c r="K32">
        <f ca="1">SUM($J$2:J32)/I32</f>
        <v>639.29098510775441</v>
      </c>
      <c r="M32">
        <v>30</v>
      </c>
      <c r="N32">
        <f t="shared" ca="1" si="5"/>
        <v>696</v>
      </c>
      <c r="O32">
        <f ca="1">SUM($N$2:N32)/M32</f>
        <v>650.65254998368357</v>
      </c>
    </row>
    <row r="33" spans="1:15" x14ac:dyDescent="0.2">
      <c r="A33">
        <v>31</v>
      </c>
      <c r="B33" s="11">
        <f t="shared" si="2"/>
        <v>0</v>
      </c>
      <c r="C33">
        <f ca="1">SUM($B$2:B33)/A33</f>
        <v>618.66869526556877</v>
      </c>
      <c r="E33">
        <v>31</v>
      </c>
      <c r="F33" s="11">
        <f t="shared" si="3"/>
        <v>0</v>
      </c>
      <c r="G33">
        <f ca="1">SUM($F$2:F33)/E33</f>
        <v>629.66375804872598</v>
      </c>
      <c r="I33">
        <v>31</v>
      </c>
      <c r="J33">
        <f t="shared" si="4"/>
        <v>0</v>
      </c>
      <c r="K33">
        <f ca="1">SUM($J$2:J33)/I33</f>
        <v>618.66869526556877</v>
      </c>
      <c r="M33">
        <v>31</v>
      </c>
      <c r="N33">
        <f t="shared" si="5"/>
        <v>0</v>
      </c>
      <c r="O33">
        <f ca="1">SUM($N$2:N33)/M33</f>
        <v>629.66375804872598</v>
      </c>
    </row>
    <row r="34" spans="1:15" x14ac:dyDescent="0.2">
      <c r="A34">
        <v>32</v>
      </c>
      <c r="B34" s="11">
        <f t="shared" si="2"/>
        <v>0</v>
      </c>
      <c r="C34">
        <f ca="1">SUM($B$2:B34)/A34</f>
        <v>599.33529853851974</v>
      </c>
      <c r="E34">
        <v>32</v>
      </c>
      <c r="F34" s="11">
        <f t="shared" si="3"/>
        <v>0</v>
      </c>
      <c r="G34">
        <f ca="1">SUM($F$2:F34)/E34</f>
        <v>609.9867656097033</v>
      </c>
      <c r="I34">
        <v>32</v>
      </c>
      <c r="J34">
        <f t="shared" si="4"/>
        <v>0</v>
      </c>
      <c r="K34">
        <f ca="1">SUM($J$2:J34)/I34</f>
        <v>599.33529853851974</v>
      </c>
      <c r="M34">
        <v>32</v>
      </c>
      <c r="N34">
        <f t="shared" si="5"/>
        <v>0</v>
      </c>
      <c r="O34">
        <f ca="1">SUM($N$2:N34)/M34</f>
        <v>609.9867656097033</v>
      </c>
    </row>
    <row r="35" spans="1:15" x14ac:dyDescent="0.2">
      <c r="A35">
        <v>33</v>
      </c>
      <c r="B35" s="11">
        <f t="shared" si="2"/>
        <v>0</v>
      </c>
      <c r="C35">
        <f ca="1">SUM($B$2:B35)/A35</f>
        <v>581.17362282523129</v>
      </c>
      <c r="E35">
        <v>33</v>
      </c>
      <c r="F35" s="11">
        <f t="shared" si="3"/>
        <v>0</v>
      </c>
      <c r="G35">
        <f ca="1">SUM($F$2:F35)/E35</f>
        <v>591.50231816698499</v>
      </c>
      <c r="I35">
        <v>33</v>
      </c>
      <c r="J35">
        <f t="shared" si="4"/>
        <v>0</v>
      </c>
      <c r="K35">
        <f ca="1">SUM($J$2:J35)/I35</f>
        <v>581.17362282523129</v>
      </c>
      <c r="M35">
        <v>33</v>
      </c>
      <c r="N35">
        <f t="shared" si="5"/>
        <v>0</v>
      </c>
      <c r="O35">
        <f ca="1">SUM($N$2:N35)/M35</f>
        <v>591.50231816698499</v>
      </c>
    </row>
    <row r="36" spans="1:15" x14ac:dyDescent="0.2">
      <c r="A36">
        <v>34</v>
      </c>
      <c r="B36" s="11">
        <f t="shared" si="2"/>
        <v>0</v>
      </c>
      <c r="C36">
        <f ca="1">SUM($B$2:B36)/A36</f>
        <v>564.08028097743033</v>
      </c>
      <c r="E36">
        <v>34</v>
      </c>
      <c r="F36" s="11">
        <f t="shared" si="3"/>
        <v>0</v>
      </c>
      <c r="G36">
        <f ca="1">SUM($F$2:F36)/E36</f>
        <v>574.10519116207365</v>
      </c>
      <c r="I36">
        <v>34</v>
      </c>
      <c r="J36">
        <f t="shared" si="4"/>
        <v>0</v>
      </c>
      <c r="K36">
        <f ca="1">SUM($J$2:J36)/I36</f>
        <v>564.08028097743033</v>
      </c>
      <c r="M36">
        <v>34</v>
      </c>
      <c r="N36">
        <f t="shared" si="5"/>
        <v>0</v>
      </c>
      <c r="O36">
        <f ca="1">SUM($N$2:N36)/M36</f>
        <v>574.10519116207365</v>
      </c>
    </row>
    <row r="37" spans="1:15" x14ac:dyDescent="0.2">
      <c r="A37">
        <v>35</v>
      </c>
      <c r="B37" s="11">
        <f t="shared" si="2"/>
        <v>0</v>
      </c>
      <c r="C37">
        <f ca="1">SUM($B$2:B37)/A37</f>
        <v>547.96370152093232</v>
      </c>
      <c r="E37">
        <v>35</v>
      </c>
      <c r="F37" s="11">
        <f t="shared" si="3"/>
        <v>0</v>
      </c>
      <c r="G37">
        <f ca="1">SUM($F$2:F37)/E37</f>
        <v>557.70218570030011</v>
      </c>
      <c r="I37">
        <v>35</v>
      </c>
      <c r="J37">
        <f t="shared" si="4"/>
        <v>0</v>
      </c>
      <c r="K37">
        <f ca="1">SUM($J$2:J37)/I37</f>
        <v>547.96370152093232</v>
      </c>
      <c r="M37">
        <v>35</v>
      </c>
      <c r="N37">
        <f t="shared" si="5"/>
        <v>0</v>
      </c>
      <c r="O37">
        <f ca="1">SUM($N$2:N37)/M37</f>
        <v>557.70218570030011</v>
      </c>
    </row>
    <row r="38" spans="1:15" x14ac:dyDescent="0.2">
      <c r="A38">
        <v>36</v>
      </c>
      <c r="B38" s="11">
        <f t="shared" si="2"/>
        <v>0</v>
      </c>
      <c r="C38">
        <f ca="1">SUM($B$2:B38)/A38</f>
        <v>532.74248758979536</v>
      </c>
      <c r="E38">
        <v>36</v>
      </c>
      <c r="F38" s="11">
        <f t="shared" si="3"/>
        <v>0</v>
      </c>
      <c r="G38">
        <f ca="1">SUM($F$2:F38)/E38</f>
        <v>542.21045831973629</v>
      </c>
      <c r="I38">
        <v>36</v>
      </c>
      <c r="J38">
        <f t="shared" si="4"/>
        <v>0</v>
      </c>
      <c r="K38">
        <f ca="1">SUM($J$2:J38)/I38</f>
        <v>532.74248758979536</v>
      </c>
      <c r="M38">
        <v>36</v>
      </c>
      <c r="N38">
        <f t="shared" si="5"/>
        <v>0</v>
      </c>
      <c r="O38">
        <f ca="1">SUM($N$2:N38)/M38</f>
        <v>542.21045831973629</v>
      </c>
    </row>
    <row r="39" spans="1:15" x14ac:dyDescent="0.2">
      <c r="A39">
        <v>37</v>
      </c>
      <c r="B39" s="11">
        <f t="shared" si="2"/>
        <v>0</v>
      </c>
      <c r="C39">
        <f ca="1">SUM($B$2:B39)/A39</f>
        <v>518.34404197926028</v>
      </c>
      <c r="E39">
        <v>37</v>
      </c>
      <c r="F39" s="11">
        <f t="shared" si="3"/>
        <v>0</v>
      </c>
      <c r="G39">
        <f ca="1">SUM($F$2:F39)/E39</f>
        <v>527.556121608392</v>
      </c>
      <c r="I39">
        <v>37</v>
      </c>
      <c r="J39">
        <f t="shared" si="4"/>
        <v>0</v>
      </c>
      <c r="K39">
        <f ca="1">SUM($J$2:J39)/I39</f>
        <v>518.34404197926028</v>
      </c>
      <c r="M39">
        <v>37</v>
      </c>
      <c r="N39">
        <f t="shared" si="5"/>
        <v>0</v>
      </c>
      <c r="O39">
        <f ca="1">SUM($N$2:N39)/M39</f>
        <v>527.556121608392</v>
      </c>
    </row>
    <row r="40" spans="1:15" x14ac:dyDescent="0.2">
      <c r="A40">
        <v>38</v>
      </c>
      <c r="B40" s="11">
        <f t="shared" si="2"/>
        <v>0</v>
      </c>
      <c r="C40">
        <f ca="1">SUM($B$2:B40)/A40</f>
        <v>504.70340929559558</v>
      </c>
      <c r="E40">
        <v>38</v>
      </c>
      <c r="F40" s="11">
        <f t="shared" si="3"/>
        <v>0</v>
      </c>
      <c r="G40">
        <f ca="1">SUM($F$2:F40)/E40</f>
        <v>513.67306577659224</v>
      </c>
      <c r="I40">
        <v>38</v>
      </c>
      <c r="J40">
        <f t="shared" si="4"/>
        <v>0</v>
      </c>
      <c r="K40">
        <f ca="1">SUM($J$2:J40)/I40</f>
        <v>504.70340929559558</v>
      </c>
      <c r="M40">
        <v>38</v>
      </c>
      <c r="N40">
        <f t="shared" si="5"/>
        <v>0</v>
      </c>
      <c r="O40">
        <f ca="1">SUM($N$2:N40)/M40</f>
        <v>513.67306577659224</v>
      </c>
    </row>
    <row r="41" spans="1:15" x14ac:dyDescent="0.2">
      <c r="A41">
        <v>39</v>
      </c>
      <c r="B41" s="11">
        <f t="shared" si="2"/>
        <v>0</v>
      </c>
      <c r="C41">
        <f ca="1">SUM($B$2:B41)/A41</f>
        <v>491.76229623673413</v>
      </c>
      <c r="E41">
        <v>39</v>
      </c>
      <c r="F41" s="11">
        <f t="shared" si="3"/>
        <v>0</v>
      </c>
      <c r="G41">
        <f ca="1">SUM($F$2:F41)/E41</f>
        <v>500.50196152591042</v>
      </c>
      <c r="I41">
        <v>39</v>
      </c>
      <c r="J41">
        <f t="shared" si="4"/>
        <v>0</v>
      </c>
      <c r="K41">
        <f ca="1">SUM($J$2:J41)/I41</f>
        <v>491.76229623673413</v>
      </c>
      <c r="M41">
        <v>39</v>
      </c>
      <c r="N41">
        <f t="shared" si="5"/>
        <v>0</v>
      </c>
      <c r="O41">
        <f ca="1">SUM($N$2:N41)/M41</f>
        <v>500.50196152591042</v>
      </c>
    </row>
    <row r="42" spans="1:15" x14ac:dyDescent="0.2">
      <c r="A42">
        <v>40</v>
      </c>
      <c r="B42" s="11">
        <f t="shared" si="2"/>
        <v>0</v>
      </c>
      <c r="C42">
        <f ca="1">SUM($B$2:B42)/A42</f>
        <v>479.46823883081578</v>
      </c>
      <c r="E42">
        <v>40</v>
      </c>
      <c r="F42" s="11">
        <f t="shared" si="3"/>
        <v>0</v>
      </c>
      <c r="G42">
        <f ca="1">SUM($F$2:F42)/E42</f>
        <v>487.98941248776265</v>
      </c>
      <c r="I42">
        <v>40</v>
      </c>
      <c r="J42">
        <f t="shared" si="4"/>
        <v>0</v>
      </c>
      <c r="K42">
        <f ca="1">SUM($J$2:J42)/I42</f>
        <v>479.46823883081578</v>
      </c>
      <c r="M42">
        <v>40</v>
      </c>
      <c r="N42">
        <f t="shared" si="5"/>
        <v>0</v>
      </c>
      <c r="O42">
        <f ca="1">SUM($N$2:N42)/M42</f>
        <v>487.98941248776265</v>
      </c>
    </row>
    <row r="43" spans="1:15" x14ac:dyDescent="0.2">
      <c r="A43">
        <v>41</v>
      </c>
      <c r="B43" s="11">
        <f t="shared" si="2"/>
        <v>0</v>
      </c>
      <c r="C43">
        <f ca="1">SUM($B$2:B43)/A43</f>
        <v>467.77389154225932</v>
      </c>
      <c r="E43">
        <v>41</v>
      </c>
      <c r="F43" s="11">
        <f t="shared" si="3"/>
        <v>0</v>
      </c>
      <c r="G43">
        <f ca="1">SUM($F$2:F43)/E43</f>
        <v>476.08723169537819</v>
      </c>
      <c r="I43">
        <v>41</v>
      </c>
      <c r="J43">
        <f t="shared" si="4"/>
        <v>0</v>
      </c>
      <c r="K43">
        <f ca="1">SUM($J$2:J43)/I43</f>
        <v>467.77389154225932</v>
      </c>
      <c r="M43">
        <v>41</v>
      </c>
      <c r="N43">
        <f t="shared" si="5"/>
        <v>0</v>
      </c>
      <c r="O43">
        <f ca="1">SUM($N$2:N43)/M43</f>
        <v>476.08723169537819</v>
      </c>
    </row>
    <row r="44" spans="1:15" x14ac:dyDescent="0.2">
      <c r="A44">
        <v>42</v>
      </c>
      <c r="B44" s="11">
        <f t="shared" si="2"/>
        <v>0</v>
      </c>
      <c r="C44">
        <f ca="1">SUM($B$2:B44)/A44</f>
        <v>456.63641793411028</v>
      </c>
      <c r="E44">
        <v>42</v>
      </c>
      <c r="F44" s="11">
        <f t="shared" si="3"/>
        <v>0</v>
      </c>
      <c r="G44">
        <f ca="1">SUM($F$2:F44)/E44</f>
        <v>464.75182141691681</v>
      </c>
      <c r="I44">
        <v>42</v>
      </c>
      <c r="J44">
        <f t="shared" si="4"/>
        <v>0</v>
      </c>
      <c r="K44">
        <f ca="1">SUM($J$2:J44)/I44</f>
        <v>456.63641793411028</v>
      </c>
      <c r="M44">
        <v>42</v>
      </c>
      <c r="N44">
        <f t="shared" si="5"/>
        <v>0</v>
      </c>
      <c r="O44">
        <f ca="1">SUM($N$2:N44)/M44</f>
        <v>464.75182141691681</v>
      </c>
    </row>
    <row r="45" spans="1:15" x14ac:dyDescent="0.2">
      <c r="A45">
        <v>43</v>
      </c>
      <c r="B45" s="11">
        <f t="shared" si="2"/>
        <v>0</v>
      </c>
      <c r="C45">
        <f ca="1">SUM($B$2:B45)/A45</f>
        <v>446.01696635424724</v>
      </c>
      <c r="E45">
        <v>43</v>
      </c>
      <c r="F45" s="11">
        <f t="shared" si="3"/>
        <v>0</v>
      </c>
      <c r="G45">
        <f ca="1">SUM($F$2:F45)/E45</f>
        <v>453.94363952350011</v>
      </c>
      <c r="I45">
        <v>43</v>
      </c>
      <c r="J45">
        <f t="shared" si="4"/>
        <v>0</v>
      </c>
      <c r="K45">
        <f ca="1">SUM($J$2:J45)/I45</f>
        <v>446.01696635424724</v>
      </c>
      <c r="M45">
        <v>43</v>
      </c>
      <c r="N45">
        <f t="shared" si="5"/>
        <v>0</v>
      </c>
      <c r="O45">
        <f ca="1">SUM($N$2:N45)/M45</f>
        <v>453.94363952350011</v>
      </c>
    </row>
    <row r="46" spans="1:15" x14ac:dyDescent="0.2">
      <c r="A46">
        <v>44</v>
      </c>
      <c r="B46" s="11">
        <f t="shared" si="2"/>
        <v>0</v>
      </c>
      <c r="C46">
        <f ca="1">SUM($B$2:B46)/A46</f>
        <v>435.88021711892344</v>
      </c>
      <c r="E46">
        <v>44</v>
      </c>
      <c r="F46" s="11">
        <f t="shared" si="3"/>
        <v>0</v>
      </c>
      <c r="G46">
        <f ca="1">SUM($F$2:F46)/E46</f>
        <v>443.62673862523877</v>
      </c>
      <c r="I46">
        <v>44</v>
      </c>
      <c r="J46">
        <f t="shared" si="4"/>
        <v>0</v>
      </c>
      <c r="K46">
        <f ca="1">SUM($J$2:J46)/I46</f>
        <v>435.88021711892344</v>
      </c>
      <c r="M46">
        <v>44</v>
      </c>
      <c r="N46">
        <f t="shared" si="5"/>
        <v>0</v>
      </c>
      <c r="O46">
        <f ca="1">SUM($N$2:N46)/M46</f>
        <v>443.62673862523877</v>
      </c>
    </row>
    <row r="47" spans="1:15" x14ac:dyDescent="0.2">
      <c r="A47">
        <v>45</v>
      </c>
      <c r="B47" s="11">
        <f t="shared" si="2"/>
        <v>0</v>
      </c>
      <c r="C47">
        <f ca="1">SUM($B$2:B47)/A47</f>
        <v>426.19399007183625</v>
      </c>
      <c r="E47">
        <v>45</v>
      </c>
      <c r="F47" s="11">
        <f t="shared" si="3"/>
        <v>0</v>
      </c>
      <c r="G47">
        <f ca="1">SUM($F$2:F47)/E47</f>
        <v>433.76836665578901</v>
      </c>
      <c r="I47">
        <v>45</v>
      </c>
      <c r="J47">
        <f t="shared" si="4"/>
        <v>0</v>
      </c>
      <c r="K47">
        <f ca="1">SUM($J$2:J47)/I47</f>
        <v>426.19399007183625</v>
      </c>
      <c r="M47">
        <v>45</v>
      </c>
      <c r="N47">
        <f t="shared" si="5"/>
        <v>0</v>
      </c>
      <c r="O47">
        <f ca="1">SUM($N$2:N47)/M47</f>
        <v>433.76836665578901</v>
      </c>
    </row>
    <row r="48" spans="1:15" x14ac:dyDescent="0.2">
      <c r="A48">
        <v>46</v>
      </c>
      <c r="B48" s="11">
        <f t="shared" si="2"/>
        <v>0</v>
      </c>
      <c r="C48">
        <f ca="1">SUM($B$2:B48)/A48</f>
        <v>416.92890333114417</v>
      </c>
      <c r="E48">
        <v>46</v>
      </c>
      <c r="F48" s="11">
        <f t="shared" si="3"/>
        <v>0</v>
      </c>
      <c r="G48">
        <f ca="1">SUM($F$2:F48)/E48</f>
        <v>424.33861955457621</v>
      </c>
      <c r="I48">
        <v>46</v>
      </c>
      <c r="J48">
        <f t="shared" si="4"/>
        <v>0</v>
      </c>
      <c r="K48">
        <f ca="1">SUM($J$2:J48)/I48</f>
        <v>416.92890333114417</v>
      </c>
      <c r="M48">
        <v>46</v>
      </c>
      <c r="N48">
        <f t="shared" si="5"/>
        <v>0</v>
      </c>
      <c r="O48">
        <f ca="1">SUM($N$2:N48)/M48</f>
        <v>424.33861955457621</v>
      </c>
    </row>
    <row r="49" spans="1:15" x14ac:dyDescent="0.2">
      <c r="A49">
        <v>47</v>
      </c>
      <c r="B49" s="11">
        <f t="shared" si="2"/>
        <v>0</v>
      </c>
      <c r="C49">
        <f ca="1">SUM($B$2:B49)/A49</f>
        <v>408.05807560069428</v>
      </c>
      <c r="E49">
        <v>47</v>
      </c>
      <c r="F49" s="11">
        <f t="shared" si="3"/>
        <v>0</v>
      </c>
      <c r="G49">
        <f ca="1">SUM($F$2:F49)/E49</f>
        <v>415.31013828745756</v>
      </c>
      <c r="I49">
        <v>47</v>
      </c>
      <c r="J49">
        <f t="shared" si="4"/>
        <v>0</v>
      </c>
      <c r="K49">
        <f ca="1">SUM($J$2:J49)/I49</f>
        <v>408.05807560069428</v>
      </c>
      <c r="M49">
        <v>47</v>
      </c>
      <c r="N49">
        <f t="shared" si="5"/>
        <v>0</v>
      </c>
      <c r="O49">
        <f ca="1">SUM($N$2:N49)/M49</f>
        <v>415.31013828745756</v>
      </c>
    </row>
    <row r="50" spans="1:15" x14ac:dyDescent="0.2">
      <c r="A50">
        <v>48</v>
      </c>
      <c r="B50" s="11">
        <f t="shared" si="2"/>
        <v>0</v>
      </c>
      <c r="C50">
        <f ca="1">SUM($B$2:B50)/A50</f>
        <v>399.55686569234649</v>
      </c>
      <c r="E50">
        <v>48</v>
      </c>
      <c r="F50" s="11">
        <f t="shared" si="3"/>
        <v>0</v>
      </c>
      <c r="G50">
        <f ca="1">SUM($F$2:F50)/E50</f>
        <v>406.65784373980222</v>
      </c>
      <c r="I50">
        <v>48</v>
      </c>
      <c r="J50">
        <f t="shared" si="4"/>
        <v>0</v>
      </c>
      <c r="K50">
        <f ca="1">SUM($J$2:J50)/I50</f>
        <v>399.55686569234649</v>
      </c>
      <c r="M50">
        <v>48</v>
      </c>
      <c r="N50">
        <f t="shared" si="5"/>
        <v>0</v>
      </c>
      <c r="O50">
        <f ca="1">SUM($N$2:N50)/M50</f>
        <v>406.65784373980222</v>
      </c>
    </row>
    <row r="51" spans="1:15" x14ac:dyDescent="0.2">
      <c r="A51">
        <v>49</v>
      </c>
      <c r="B51" s="11">
        <f t="shared" si="2"/>
        <v>0</v>
      </c>
      <c r="C51">
        <f ca="1">SUM($B$2:B51)/A51</f>
        <v>391.40264394352312</v>
      </c>
      <c r="E51">
        <v>49</v>
      </c>
      <c r="F51" s="11">
        <f t="shared" si="3"/>
        <v>0</v>
      </c>
      <c r="G51">
        <f ca="1">SUM($F$2:F51)/E51</f>
        <v>398.35870407164299</v>
      </c>
      <c r="I51">
        <v>49</v>
      </c>
      <c r="J51">
        <f t="shared" si="4"/>
        <v>0</v>
      </c>
      <c r="K51">
        <f ca="1">SUM($J$2:J51)/I51</f>
        <v>391.40264394352312</v>
      </c>
      <c r="M51">
        <v>49</v>
      </c>
      <c r="N51">
        <f t="shared" si="5"/>
        <v>0</v>
      </c>
      <c r="O51">
        <f ca="1">SUM($N$2:N51)/M51</f>
        <v>398.35870407164299</v>
      </c>
    </row>
    <row r="52" spans="1:15" x14ac:dyDescent="0.2">
      <c r="A52">
        <v>50</v>
      </c>
      <c r="B52" s="11">
        <f t="shared" si="2"/>
        <v>0</v>
      </c>
      <c r="C52">
        <f ca="1">SUM($B$2:B52)/A52</f>
        <v>383.57459106465262</v>
      </c>
      <c r="E52">
        <v>50</v>
      </c>
      <c r="F52" s="11">
        <f t="shared" si="3"/>
        <v>0</v>
      </c>
      <c r="G52">
        <f ca="1">SUM($F$2:F52)/E52</f>
        <v>390.39152999021013</v>
      </c>
      <c r="I52">
        <v>50</v>
      </c>
      <c r="J52">
        <f t="shared" si="4"/>
        <v>0</v>
      </c>
      <c r="K52">
        <f ca="1">SUM($J$2:J52)/I52</f>
        <v>383.57459106465262</v>
      </c>
      <c r="M52">
        <v>50</v>
      </c>
      <c r="N52">
        <f t="shared" si="5"/>
        <v>0</v>
      </c>
      <c r="O52">
        <f ca="1">SUM($N$2:N52)/M52</f>
        <v>390.39152999021013</v>
      </c>
    </row>
    <row r="53" spans="1:15" x14ac:dyDescent="0.2">
      <c r="A53">
        <v>51</v>
      </c>
      <c r="B53" s="11">
        <f t="shared" si="2"/>
        <v>0</v>
      </c>
      <c r="C53">
        <f ca="1">SUM($B$2:B53)/A53</f>
        <v>376.0535206516202</v>
      </c>
      <c r="E53">
        <v>51</v>
      </c>
      <c r="F53" s="11">
        <f t="shared" si="3"/>
        <v>0</v>
      </c>
      <c r="G53">
        <f ca="1">SUM($F$2:F53)/E53</f>
        <v>382.73679410804914</v>
      </c>
      <c r="I53">
        <v>51</v>
      </c>
      <c r="J53">
        <f t="shared" si="4"/>
        <v>0</v>
      </c>
      <c r="K53">
        <f ca="1">SUM($J$2:J53)/I53</f>
        <v>376.0535206516202</v>
      </c>
      <c r="M53">
        <v>51</v>
      </c>
      <c r="N53">
        <f t="shared" si="5"/>
        <v>0</v>
      </c>
      <c r="O53">
        <f ca="1">SUM($N$2:N53)/M53</f>
        <v>382.73679410804914</v>
      </c>
    </row>
    <row r="54" spans="1:15" x14ac:dyDescent="0.2">
      <c r="A54">
        <v>52</v>
      </c>
      <c r="B54" s="11">
        <f t="shared" si="2"/>
        <v>0</v>
      </c>
      <c r="C54">
        <f ca="1">SUM($B$2:B54)/A54</f>
        <v>368.82172217755061</v>
      </c>
      <c r="E54">
        <v>52</v>
      </c>
      <c r="F54" s="11">
        <f t="shared" si="3"/>
        <v>0</v>
      </c>
      <c r="G54">
        <f ca="1">SUM($F$2:F54)/E54</f>
        <v>375.3764711444328</v>
      </c>
      <c r="I54">
        <v>52</v>
      </c>
      <c r="J54">
        <f t="shared" si="4"/>
        <v>0</v>
      </c>
      <c r="K54">
        <f ca="1">SUM($J$2:J54)/I54</f>
        <v>368.82172217755061</v>
      </c>
      <c r="M54">
        <v>52</v>
      </c>
      <c r="N54">
        <f t="shared" si="5"/>
        <v>0</v>
      </c>
      <c r="O54">
        <f ca="1">SUM($N$2:N54)/M54</f>
        <v>375.3764711444328</v>
      </c>
    </row>
    <row r="55" spans="1:15" x14ac:dyDescent="0.2">
      <c r="A55">
        <v>53</v>
      </c>
      <c r="B55" s="11">
        <f t="shared" si="2"/>
        <v>0</v>
      </c>
      <c r="C55">
        <f ca="1">SUM($B$2:B55)/A55</f>
        <v>361.86282175910628</v>
      </c>
      <c r="E55">
        <v>53</v>
      </c>
      <c r="F55" s="11">
        <f t="shared" si="3"/>
        <v>0</v>
      </c>
      <c r="G55">
        <f ca="1">SUM($F$2:F55)/E55</f>
        <v>368.29389621717934</v>
      </c>
      <c r="I55">
        <v>53</v>
      </c>
      <c r="J55">
        <f t="shared" si="4"/>
        <v>0</v>
      </c>
      <c r="K55">
        <f ca="1">SUM($J$2:J55)/I55</f>
        <v>361.86282175910628</v>
      </c>
      <c r="M55">
        <v>53</v>
      </c>
      <c r="N55">
        <f t="shared" si="5"/>
        <v>0</v>
      </c>
      <c r="O55">
        <f ca="1">SUM($N$2:N55)/M55</f>
        <v>368.29389621717934</v>
      </c>
    </row>
    <row r="56" spans="1:15" x14ac:dyDescent="0.2">
      <c r="A56">
        <v>54</v>
      </c>
      <c r="B56" s="11">
        <f t="shared" si="2"/>
        <v>0</v>
      </c>
      <c r="C56">
        <f ca="1">SUM($B$2:B56)/A56</f>
        <v>355.16165839319689</v>
      </c>
      <c r="E56">
        <v>54</v>
      </c>
      <c r="F56" s="11">
        <f t="shared" si="3"/>
        <v>0</v>
      </c>
      <c r="G56">
        <f ca="1">SUM($F$2:F56)/E56</f>
        <v>361.47363887982419</v>
      </c>
      <c r="I56">
        <v>54</v>
      </c>
      <c r="J56">
        <f t="shared" si="4"/>
        <v>0</v>
      </c>
      <c r="K56">
        <f ca="1">SUM($J$2:J56)/I56</f>
        <v>355.16165839319689</v>
      </c>
      <c r="M56">
        <v>54</v>
      </c>
      <c r="N56">
        <f t="shared" si="5"/>
        <v>0</v>
      </c>
      <c r="O56">
        <f ca="1">SUM($N$2:N56)/M56</f>
        <v>361.47363887982419</v>
      </c>
    </row>
    <row r="57" spans="1:15" x14ac:dyDescent="0.2">
      <c r="A57">
        <v>55</v>
      </c>
      <c r="B57" s="11">
        <f t="shared" si="2"/>
        <v>0</v>
      </c>
      <c r="C57">
        <f ca="1">SUM($B$2:B57)/A57</f>
        <v>348.70417369513876</v>
      </c>
      <c r="E57">
        <v>55</v>
      </c>
      <c r="F57" s="11">
        <f t="shared" si="3"/>
        <v>0</v>
      </c>
      <c r="G57">
        <f ca="1">SUM($F$2:F57)/E57</f>
        <v>354.90139090019102</v>
      </c>
      <c r="I57">
        <v>55</v>
      </c>
      <c r="J57">
        <f t="shared" si="4"/>
        <v>0</v>
      </c>
      <c r="K57">
        <f ca="1">SUM($J$2:J57)/I57</f>
        <v>348.70417369513876</v>
      </c>
      <c r="M57">
        <v>55</v>
      </c>
      <c r="N57">
        <f t="shared" si="5"/>
        <v>0</v>
      </c>
      <c r="O57">
        <f ca="1">SUM($N$2:N57)/M57</f>
        <v>354.90139090019102</v>
      </c>
    </row>
    <row r="58" spans="1:15" x14ac:dyDescent="0.2">
      <c r="A58">
        <v>56</v>
      </c>
      <c r="B58" s="11">
        <f t="shared" si="2"/>
        <v>0</v>
      </c>
      <c r="C58">
        <f ca="1">SUM($B$2:B58)/A58</f>
        <v>342.4773134505827</v>
      </c>
      <c r="E58">
        <v>56</v>
      </c>
      <c r="F58" s="11">
        <f t="shared" si="3"/>
        <v>0</v>
      </c>
      <c r="G58">
        <f ca="1">SUM($F$2:F58)/E58</f>
        <v>348.56386606268762</v>
      </c>
      <c r="I58">
        <v>56</v>
      </c>
      <c r="J58">
        <f t="shared" si="4"/>
        <v>0</v>
      </c>
      <c r="K58">
        <f ca="1">SUM($J$2:J58)/I58</f>
        <v>342.4773134505827</v>
      </c>
      <c r="M58">
        <v>56</v>
      </c>
      <c r="N58">
        <f t="shared" si="5"/>
        <v>0</v>
      </c>
      <c r="O58">
        <f ca="1">SUM($N$2:N58)/M58</f>
        <v>348.56386606268762</v>
      </c>
    </row>
    <row r="59" spans="1:15" x14ac:dyDescent="0.2">
      <c r="A59">
        <v>57</v>
      </c>
      <c r="B59" s="11">
        <f t="shared" si="2"/>
        <v>0</v>
      </c>
      <c r="C59">
        <f ca="1">SUM($B$2:B59)/A59</f>
        <v>336.46893953039705</v>
      </c>
      <c r="E59">
        <v>57</v>
      </c>
      <c r="F59" s="11">
        <f t="shared" si="3"/>
        <v>0</v>
      </c>
      <c r="G59">
        <f ca="1">SUM($F$2:F59)/E59</f>
        <v>342.44871051772816</v>
      </c>
      <c r="I59">
        <v>57</v>
      </c>
      <c r="J59">
        <f t="shared" si="4"/>
        <v>0</v>
      </c>
      <c r="K59">
        <f ca="1">SUM($J$2:J59)/I59</f>
        <v>336.46893953039705</v>
      </c>
      <c r="M59">
        <v>57</v>
      </c>
      <c r="N59">
        <f t="shared" si="5"/>
        <v>0</v>
      </c>
      <c r="O59">
        <f ca="1">SUM($N$2:N59)/M59</f>
        <v>342.44871051772816</v>
      </c>
    </row>
    <row r="60" spans="1:15" x14ac:dyDescent="0.2">
      <c r="A60">
        <v>58</v>
      </c>
      <c r="B60" s="11">
        <f t="shared" si="2"/>
        <v>0</v>
      </c>
      <c r="C60">
        <f ca="1">SUM($B$2:B60)/A60</f>
        <v>330.66775091780397</v>
      </c>
      <c r="E60">
        <v>58</v>
      </c>
      <c r="F60" s="11">
        <f t="shared" si="3"/>
        <v>0</v>
      </c>
      <c r="G60">
        <f ca="1">SUM($F$2:F60)/E60</f>
        <v>336.54442240535354</v>
      </c>
      <c r="I60">
        <v>58</v>
      </c>
      <c r="J60">
        <f t="shared" si="4"/>
        <v>0</v>
      </c>
      <c r="K60">
        <f ca="1">SUM($J$2:J60)/I60</f>
        <v>330.66775091780397</v>
      </c>
      <c r="M60">
        <v>58</v>
      </c>
      <c r="N60">
        <f t="shared" si="5"/>
        <v>0</v>
      </c>
      <c r="O60">
        <f ca="1">SUM($N$2:N60)/M60</f>
        <v>336.54442240535354</v>
      </c>
    </row>
    <row r="61" spans="1:15" x14ac:dyDescent="0.2">
      <c r="A61">
        <v>59</v>
      </c>
      <c r="B61" s="11">
        <f t="shared" si="2"/>
        <v>0</v>
      </c>
      <c r="C61">
        <f ca="1">SUM($B$2:B61)/A61</f>
        <v>325.06321276665477</v>
      </c>
      <c r="E61">
        <v>59</v>
      </c>
      <c r="F61" s="11">
        <f t="shared" si="3"/>
        <v>0</v>
      </c>
      <c r="G61">
        <f ca="1">SUM($F$2:F61)/E61</f>
        <v>330.84027965272043</v>
      </c>
      <c r="I61">
        <v>59</v>
      </c>
      <c r="J61">
        <f t="shared" si="4"/>
        <v>0</v>
      </c>
      <c r="K61">
        <f ca="1">SUM($J$2:J61)/I61</f>
        <v>325.06321276665477</v>
      </c>
      <c r="M61">
        <v>59</v>
      </c>
      <c r="N61">
        <f t="shared" si="5"/>
        <v>0</v>
      </c>
      <c r="O61">
        <f ca="1">SUM($N$2:N61)/M61</f>
        <v>330.84027965272043</v>
      </c>
    </row>
    <row r="62" spans="1:15" x14ac:dyDescent="0.2">
      <c r="A62">
        <v>60</v>
      </c>
      <c r="B62" s="11">
        <f t="shared" si="2"/>
        <v>0</v>
      </c>
      <c r="C62">
        <f ca="1">SUM($B$2:B62)/A62</f>
        <v>319.6454925538772</v>
      </c>
      <c r="E62">
        <v>60</v>
      </c>
      <c r="F62" s="11">
        <f t="shared" si="3"/>
        <v>0</v>
      </c>
      <c r="G62">
        <f ca="1">SUM($F$2:F62)/E62</f>
        <v>325.32627499184179</v>
      </c>
      <c r="I62">
        <v>60</v>
      </c>
      <c r="J62">
        <f t="shared" si="4"/>
        <v>0</v>
      </c>
      <c r="K62">
        <f ca="1">SUM($J$2:J62)/I62</f>
        <v>319.6454925538772</v>
      </c>
      <c r="M62">
        <v>60</v>
      </c>
      <c r="N62">
        <f t="shared" si="5"/>
        <v>0</v>
      </c>
      <c r="O62">
        <f ca="1">SUM($N$2:N62)/M62</f>
        <v>325.32627499184179</v>
      </c>
    </row>
    <row r="63" spans="1:15" x14ac:dyDescent="0.2">
      <c r="A63">
        <v>61</v>
      </c>
      <c r="B63" s="11">
        <f t="shared" si="2"/>
        <v>0</v>
      </c>
      <c r="C63">
        <f ca="1">SUM($B$2:B63)/A63</f>
        <v>314.40540251201037</v>
      </c>
      <c r="E63">
        <v>61</v>
      </c>
      <c r="F63" s="11">
        <f t="shared" si="3"/>
        <v>0</v>
      </c>
      <c r="G63">
        <f ca="1">SUM($F$2:F63)/E63</f>
        <v>319.99305736902465</v>
      </c>
      <c r="I63">
        <v>61</v>
      </c>
      <c r="J63">
        <f t="shared" si="4"/>
        <v>0</v>
      </c>
      <c r="K63">
        <f ca="1">SUM($J$2:J63)/I63</f>
        <v>314.40540251201037</v>
      </c>
      <c r="M63">
        <v>61</v>
      </c>
      <c r="N63">
        <f t="shared" si="5"/>
        <v>0</v>
      </c>
      <c r="O63">
        <f ca="1">SUM($N$2:N63)/M63</f>
        <v>319.99305736902465</v>
      </c>
    </row>
    <row r="64" spans="1:15" x14ac:dyDescent="0.2">
      <c r="A64">
        <v>62</v>
      </c>
      <c r="B64" s="11">
        <f t="shared" si="2"/>
        <v>0</v>
      </c>
      <c r="C64">
        <f ca="1">SUM($B$2:B64)/A64</f>
        <v>309.33434763278439</v>
      </c>
      <c r="E64">
        <v>62</v>
      </c>
      <c r="F64" s="11">
        <f t="shared" si="3"/>
        <v>0</v>
      </c>
      <c r="G64">
        <f ca="1">SUM($F$2:F64)/E64</f>
        <v>314.83187902436299</v>
      </c>
      <c r="I64">
        <v>62</v>
      </c>
      <c r="J64">
        <f t="shared" si="4"/>
        <v>0</v>
      </c>
      <c r="K64">
        <f ca="1">SUM($J$2:J64)/I64</f>
        <v>309.33434763278439</v>
      </c>
      <c r="M64">
        <v>62</v>
      </c>
      <c r="N64">
        <f t="shared" si="5"/>
        <v>0</v>
      </c>
      <c r="O64">
        <f ca="1">SUM($N$2:N64)/M64</f>
        <v>314.83187902436299</v>
      </c>
    </row>
    <row r="65" spans="1:15" x14ac:dyDescent="0.2">
      <c r="A65">
        <v>63</v>
      </c>
      <c r="B65" s="11">
        <f t="shared" si="2"/>
        <v>0</v>
      </c>
      <c r="C65">
        <f ca="1">SUM($B$2:B65)/A65</f>
        <v>304.42427862274019</v>
      </c>
      <c r="E65">
        <v>63</v>
      </c>
      <c r="F65" s="11">
        <f t="shared" si="3"/>
        <v>0</v>
      </c>
      <c r="G65">
        <f ca="1">SUM($F$2:F65)/E65</f>
        <v>309.83454761127786</v>
      </c>
      <c r="I65">
        <v>63</v>
      </c>
      <c r="J65">
        <f t="shared" si="4"/>
        <v>0</v>
      </c>
      <c r="K65">
        <f ca="1">SUM($J$2:J65)/I65</f>
        <v>304.42427862274019</v>
      </c>
      <c r="M65">
        <v>63</v>
      </c>
      <c r="N65">
        <f t="shared" si="5"/>
        <v>0</v>
      </c>
      <c r="O65">
        <f ca="1">SUM($N$2:N65)/M65</f>
        <v>309.83454761127786</v>
      </c>
    </row>
    <row r="66" spans="1:15" x14ac:dyDescent="0.2">
      <c r="A66">
        <v>64</v>
      </c>
      <c r="B66" s="11">
        <f t="shared" si="2"/>
        <v>0</v>
      </c>
      <c r="C66">
        <f ca="1">SUM($B$2:B66)/A66</f>
        <v>299.66764926925987</v>
      </c>
      <c r="E66">
        <v>64</v>
      </c>
      <c r="F66" s="11">
        <f t="shared" si="3"/>
        <v>0</v>
      </c>
      <c r="G66">
        <f ca="1">SUM($F$2:F66)/E66</f>
        <v>304.99338280485165</v>
      </c>
      <c r="I66">
        <v>64</v>
      </c>
      <c r="J66">
        <f t="shared" si="4"/>
        <v>0</v>
      </c>
      <c r="K66">
        <f ca="1">SUM($J$2:J66)/I66</f>
        <v>299.66764926925987</v>
      </c>
      <c r="M66">
        <v>64</v>
      </c>
      <c r="N66">
        <f t="shared" si="5"/>
        <v>0</v>
      </c>
      <c r="O66">
        <f ca="1">SUM($N$2:N66)/M66</f>
        <v>304.99338280485165</v>
      </c>
    </row>
    <row r="67" spans="1:15" x14ac:dyDescent="0.2">
      <c r="A67">
        <v>65</v>
      </c>
      <c r="B67" s="11">
        <f t="shared" ref="B67:B130" si="6">IF(ARCap-IF((A67-IF(A67/180&gt;1,ROUNDDOWN(A67/180,0)*180,0))/30&lt;=1,IF(200*15*BaseSpeed/60*(YellowConnects+WhiteMHConnects+WhiteOHConnects+HoJConnects+WindfuryConnects+SSConnects+IronfoeConnects)*(A67-180*ROUNDDOWN(A67/180,0))&gt;1200,1200,200*15*BaseSpeed/60*(YellowConnects+WhiteMHConnects+WhiteOHConnects+HoJConnects+WindfuryConnects+SSConnects+IronfoeConnects)*(A67-180*ROUNDDOWN(A67/180,0))),0)&lt;0,ARCap,IF((A67-IF(A67/180&gt;1,ROUNDDOWN(A66/180,0)*180,0))/30&lt;=1,IF(200*15*BaseSpeed/60*(YellowConnects+WhiteMHConnects+WhiteOHConnects+HoJConnects+WindfuryConnects+SSConnects+IronfoeConnects)*(A67-180*ROUNDDOWN(A67/180,0))&gt;1200,1200,200*15*BaseSpeed/60*(YellowConnects+WhiteMHConnects+WhiteOHConnects+HoJConnects+WindfuryConnects+SSConnects+IronfoeConnects)*(A67-180*ROUNDDOWN(A67/180,0))),0))</f>
        <v>0</v>
      </c>
      <c r="C67">
        <f ca="1">SUM($B$2:B67)/A67</f>
        <v>295.0573777420405</v>
      </c>
      <c r="E67">
        <v>65</v>
      </c>
      <c r="F67" s="11">
        <f t="shared" ref="F67:F130" si="7">IF(ARCap-IF((A67-IF(A67/180&gt;1,ROUNDDOWN(A67/180,0)*180,0))/30&lt;=1,IF(200*15*BaseSpeed/60*(YellowConnects20+WhiteMHConnects20+WhiteOHConnects20+HoJConnects20+WindfuryConnects20+SSConnects20+IronfoeConnects20)*(A67-180*ROUNDDOWN(A67/180,0))&gt;1200,1200,200*15*BaseSpeed/60*(YellowConnects20+WhiteMHConnects20+WhiteOHConnects20+HoJConnects20+WindfuryConnects20+SSConnects20+IronfoeConnects20)*(A67-180*ROUNDDOWN(A67/180,0))),0)&lt;0,ARCap,IF((A67-IF(A67/180&gt;1,ROUNDDOWN(A67/180,0)*180,0))/30&lt;=1,IF(200*15*BaseSpeed/60*(YellowConnects20+WhiteMHConnects20+WhiteOHConnects20+HoJConnects20+WindfuryConnects20+SSConnects20+IronfoeConnects20)*(A67-180*ROUNDDOWN(A67/180,0))&gt;1200,1200,200*15*BaseSpeed/60*(YellowConnects20+WhiteMHConnects20+WhiteOHConnects20+HoJConnects20+WindfuryConnects20+SSConnects20+IronfoeConnects20)*(A67-180*ROUNDDOWN(A67/180,0))),0))</f>
        <v>0</v>
      </c>
      <c r="G67">
        <f ca="1">SUM($F$2:F67)/E67</f>
        <v>300.30117691554625</v>
      </c>
      <c r="I67">
        <v>65</v>
      </c>
      <c r="J67">
        <f t="shared" ref="J67:J130" si="8">IF(ARCap-(B67+BRE)&lt;0,ARCap,B67+BRE)</f>
        <v>0</v>
      </c>
      <c r="K67">
        <f ca="1">SUM($J$2:J67)/I67</f>
        <v>295.0573777420405</v>
      </c>
      <c r="M67">
        <v>65</v>
      </c>
      <c r="N67">
        <f t="shared" ref="N67:N130" si="9">IF(ARCap-(F67+BREArmorReduction20)&lt;0,ARCap,F67+BREArmorReduction20)</f>
        <v>0</v>
      </c>
      <c r="O67">
        <f ca="1">SUM($N$2:N67)/M67</f>
        <v>300.30117691554625</v>
      </c>
    </row>
    <row r="68" spans="1:15" x14ac:dyDescent="0.2">
      <c r="A68">
        <v>66</v>
      </c>
      <c r="B68" s="11">
        <f t="shared" si="6"/>
        <v>0</v>
      </c>
      <c r="C68">
        <f ca="1">SUM($B$2:B68)/A68</f>
        <v>290.58681141261565</v>
      </c>
      <c r="E68">
        <v>66</v>
      </c>
      <c r="F68" s="11">
        <f t="shared" si="7"/>
        <v>0</v>
      </c>
      <c r="G68">
        <f ca="1">SUM($F$2:F68)/E68</f>
        <v>295.7511590834925</v>
      </c>
      <c r="I68">
        <v>66</v>
      </c>
      <c r="J68">
        <f t="shared" si="8"/>
        <v>0</v>
      </c>
      <c r="K68">
        <f ca="1">SUM($J$2:J68)/I68</f>
        <v>290.58681141261565</v>
      </c>
      <c r="M68">
        <v>66</v>
      </c>
      <c r="N68">
        <f t="shared" si="9"/>
        <v>0</v>
      </c>
      <c r="O68">
        <f ca="1">SUM($N$2:N68)/M68</f>
        <v>295.7511590834925</v>
      </c>
    </row>
    <row r="69" spans="1:15" x14ac:dyDescent="0.2">
      <c r="A69">
        <v>67</v>
      </c>
      <c r="B69" s="11">
        <f t="shared" si="6"/>
        <v>0</v>
      </c>
      <c r="C69">
        <f ca="1">SUM($B$2:B69)/A69</f>
        <v>286.24969482436762</v>
      </c>
      <c r="E69">
        <v>67</v>
      </c>
      <c r="F69" s="11">
        <f t="shared" si="7"/>
        <v>0</v>
      </c>
      <c r="G69">
        <f ca="1">SUM($F$2:F69)/E69</f>
        <v>291.33696267926126</v>
      </c>
      <c r="I69">
        <v>67</v>
      </c>
      <c r="J69">
        <f t="shared" si="8"/>
        <v>0</v>
      </c>
      <c r="K69">
        <f ca="1">SUM($J$2:J69)/I69</f>
        <v>286.24969482436762</v>
      </c>
      <c r="M69">
        <v>67</v>
      </c>
      <c r="N69">
        <f t="shared" si="9"/>
        <v>0</v>
      </c>
      <c r="O69">
        <f ca="1">SUM($N$2:N69)/M69</f>
        <v>291.33696267926126</v>
      </c>
    </row>
    <row r="70" spans="1:15" x14ac:dyDescent="0.2">
      <c r="A70">
        <v>68</v>
      </c>
      <c r="B70" s="11">
        <f t="shared" si="6"/>
        <v>0</v>
      </c>
      <c r="C70">
        <f ca="1">SUM($B$2:B70)/A70</f>
        <v>282.04014048871517</v>
      </c>
      <c r="E70">
        <v>68</v>
      </c>
      <c r="F70" s="11">
        <f t="shared" si="7"/>
        <v>0</v>
      </c>
      <c r="G70">
        <f ca="1">SUM($F$2:F70)/E70</f>
        <v>287.05259558103683</v>
      </c>
      <c r="I70">
        <v>68</v>
      </c>
      <c r="J70">
        <f t="shared" si="8"/>
        <v>0</v>
      </c>
      <c r="K70">
        <f ca="1">SUM($J$2:J70)/I70</f>
        <v>282.04014048871517</v>
      </c>
      <c r="M70">
        <v>68</v>
      </c>
      <c r="N70">
        <f t="shared" si="9"/>
        <v>0</v>
      </c>
      <c r="O70">
        <f ca="1">SUM($N$2:N70)/M70</f>
        <v>287.05259558103683</v>
      </c>
    </row>
    <row r="71" spans="1:15" x14ac:dyDescent="0.2">
      <c r="A71">
        <v>69</v>
      </c>
      <c r="B71" s="11">
        <f t="shared" si="6"/>
        <v>0</v>
      </c>
      <c r="C71">
        <f ca="1">SUM($B$2:B71)/A71</f>
        <v>277.9526022207628</v>
      </c>
      <c r="E71">
        <v>69</v>
      </c>
      <c r="F71" s="11">
        <f t="shared" si="7"/>
        <v>0</v>
      </c>
      <c r="G71">
        <f ca="1">SUM($F$2:F71)/E71</f>
        <v>282.89241303638414</v>
      </c>
      <c r="I71">
        <v>69</v>
      </c>
      <c r="J71">
        <f t="shared" si="8"/>
        <v>0</v>
      </c>
      <c r="K71">
        <f ca="1">SUM($J$2:J71)/I71</f>
        <v>277.9526022207628</v>
      </c>
      <c r="M71">
        <v>69</v>
      </c>
      <c r="N71">
        <f t="shared" si="9"/>
        <v>0</v>
      </c>
      <c r="O71">
        <f ca="1">SUM($N$2:N71)/M71</f>
        <v>282.89241303638414</v>
      </c>
    </row>
    <row r="72" spans="1:15" x14ac:dyDescent="0.2">
      <c r="A72">
        <v>70</v>
      </c>
      <c r="B72" s="11">
        <f t="shared" si="6"/>
        <v>0</v>
      </c>
      <c r="C72">
        <f ca="1">SUM($B$2:B72)/A72</f>
        <v>273.98185076046616</v>
      </c>
      <c r="E72">
        <v>70</v>
      </c>
      <c r="F72" s="11">
        <f t="shared" si="7"/>
        <v>0</v>
      </c>
      <c r="G72">
        <f ca="1">SUM($F$2:F72)/E72</f>
        <v>278.85109285015005</v>
      </c>
      <c r="I72">
        <v>70</v>
      </c>
      <c r="J72">
        <f t="shared" si="8"/>
        <v>0</v>
      </c>
      <c r="K72">
        <f ca="1">SUM($J$2:J72)/I72</f>
        <v>273.98185076046616</v>
      </c>
      <c r="M72">
        <v>70</v>
      </c>
      <c r="N72">
        <f t="shared" si="9"/>
        <v>0</v>
      </c>
      <c r="O72">
        <f ca="1">SUM($N$2:N72)/M72</f>
        <v>278.85109285015005</v>
      </c>
    </row>
    <row r="73" spans="1:15" x14ac:dyDescent="0.2">
      <c r="A73">
        <v>71</v>
      </c>
      <c r="B73" s="11">
        <f t="shared" si="6"/>
        <v>0</v>
      </c>
      <c r="C73">
        <f ca="1">SUM($B$2:B73)/A73</f>
        <v>270.1229514539807</v>
      </c>
      <c r="E73">
        <v>71</v>
      </c>
      <c r="F73" s="11">
        <f t="shared" si="7"/>
        <v>0</v>
      </c>
      <c r="G73">
        <f ca="1">SUM($F$2:F73)/E73</f>
        <v>274.92361266916203</v>
      </c>
      <c r="I73">
        <v>71</v>
      </c>
      <c r="J73">
        <f t="shared" si="8"/>
        <v>0</v>
      </c>
      <c r="K73">
        <f ca="1">SUM($J$2:J73)/I73</f>
        <v>270.1229514539807</v>
      </c>
      <c r="M73">
        <v>71</v>
      </c>
      <c r="N73">
        <f t="shared" si="9"/>
        <v>0</v>
      </c>
      <c r="O73">
        <f ca="1">SUM($N$2:N73)/M73</f>
        <v>274.92361266916203</v>
      </c>
    </row>
    <row r="74" spans="1:15" x14ac:dyDescent="0.2">
      <c r="A74">
        <v>72</v>
      </c>
      <c r="B74" s="11">
        <f t="shared" si="6"/>
        <v>0</v>
      </c>
      <c r="C74">
        <f ca="1">SUM($B$2:B74)/A74</f>
        <v>266.37124379489768</v>
      </c>
      <c r="E74">
        <v>72</v>
      </c>
      <c r="F74" s="11">
        <f t="shared" si="7"/>
        <v>0</v>
      </c>
      <c r="G74">
        <f ca="1">SUM($F$2:F74)/E74</f>
        <v>271.10522915986814</v>
      </c>
      <c r="I74">
        <v>72</v>
      </c>
      <c r="J74">
        <f t="shared" si="8"/>
        <v>0</v>
      </c>
      <c r="K74">
        <f ca="1">SUM($J$2:J74)/I74</f>
        <v>266.37124379489768</v>
      </c>
      <c r="M74">
        <v>72</v>
      </c>
      <c r="N74">
        <f t="shared" si="9"/>
        <v>0</v>
      </c>
      <c r="O74">
        <f ca="1">SUM($N$2:N74)/M74</f>
        <v>271.10522915986814</v>
      </c>
    </row>
    <row r="75" spans="1:15" x14ac:dyDescent="0.2">
      <c r="A75">
        <v>73</v>
      </c>
      <c r="B75" s="11">
        <f t="shared" si="6"/>
        <v>0</v>
      </c>
      <c r="C75">
        <f ca="1">SUM($B$2:B75)/A75</f>
        <v>262.72232264702234</v>
      </c>
      <c r="E75">
        <v>73</v>
      </c>
      <c r="F75" s="11">
        <f t="shared" si="7"/>
        <v>0</v>
      </c>
      <c r="G75">
        <f ca="1">SUM($F$2:F75)/E75</f>
        <v>267.39145889740416</v>
      </c>
      <c r="I75">
        <v>73</v>
      </c>
      <c r="J75">
        <f t="shared" si="8"/>
        <v>0</v>
      </c>
      <c r="K75">
        <f ca="1">SUM($J$2:J75)/I75</f>
        <v>262.72232264702234</v>
      </c>
      <c r="M75">
        <v>73</v>
      </c>
      <c r="N75">
        <f t="shared" si="9"/>
        <v>0</v>
      </c>
      <c r="O75">
        <f ca="1">SUM($N$2:N75)/M75</f>
        <v>267.39145889740416</v>
      </c>
    </row>
    <row r="76" spans="1:15" x14ac:dyDescent="0.2">
      <c r="A76">
        <v>74</v>
      </c>
      <c r="B76" s="11">
        <f t="shared" si="6"/>
        <v>0</v>
      </c>
      <c r="C76">
        <f ca="1">SUM($B$2:B76)/A76</f>
        <v>259.17202098963014</v>
      </c>
      <c r="E76">
        <v>74</v>
      </c>
      <c r="F76" s="11">
        <f t="shared" si="7"/>
        <v>0</v>
      </c>
      <c r="G76">
        <f ca="1">SUM($F$2:F76)/E76</f>
        <v>263.778060804196</v>
      </c>
      <c r="I76">
        <v>74</v>
      </c>
      <c r="J76">
        <f t="shared" si="8"/>
        <v>0</v>
      </c>
      <c r="K76">
        <f ca="1">SUM($J$2:J76)/I76</f>
        <v>259.17202098963014</v>
      </c>
      <c r="M76">
        <v>74</v>
      </c>
      <c r="N76">
        <f t="shared" si="9"/>
        <v>0</v>
      </c>
      <c r="O76">
        <f ca="1">SUM($N$2:N76)/M76</f>
        <v>263.778060804196</v>
      </c>
    </row>
    <row r="77" spans="1:15" x14ac:dyDescent="0.2">
      <c r="A77">
        <v>75</v>
      </c>
      <c r="B77" s="11">
        <f t="shared" si="6"/>
        <v>0</v>
      </c>
      <c r="C77">
        <f ca="1">SUM($B$2:B77)/A77</f>
        <v>255.71639404310176</v>
      </c>
      <c r="E77">
        <v>75</v>
      </c>
      <c r="F77" s="11">
        <f t="shared" si="7"/>
        <v>0</v>
      </c>
      <c r="G77">
        <f ca="1">SUM($F$2:F77)/E77</f>
        <v>260.26101999347338</v>
      </c>
      <c r="I77">
        <v>75</v>
      </c>
      <c r="J77">
        <f t="shared" si="8"/>
        <v>0</v>
      </c>
      <c r="K77">
        <f ca="1">SUM($J$2:J77)/I77</f>
        <v>255.71639404310176</v>
      </c>
      <c r="M77">
        <v>75</v>
      </c>
      <c r="N77">
        <f t="shared" si="9"/>
        <v>0</v>
      </c>
      <c r="O77">
        <f ca="1">SUM($N$2:N77)/M77</f>
        <v>260.26101999347338</v>
      </c>
    </row>
    <row r="78" spans="1:15" x14ac:dyDescent="0.2">
      <c r="A78">
        <v>76</v>
      </c>
      <c r="B78" s="11">
        <f t="shared" si="6"/>
        <v>0</v>
      </c>
      <c r="C78">
        <f ca="1">SUM($B$2:B78)/A78</f>
        <v>252.35170464779779</v>
      </c>
      <c r="E78">
        <v>76</v>
      </c>
      <c r="F78" s="11">
        <f t="shared" si="7"/>
        <v>0</v>
      </c>
      <c r="G78">
        <f ca="1">SUM($F$2:F78)/E78</f>
        <v>256.83653288829612</v>
      </c>
      <c r="I78">
        <v>76</v>
      </c>
      <c r="J78">
        <f t="shared" si="8"/>
        <v>0</v>
      </c>
      <c r="K78">
        <f ca="1">SUM($J$2:J78)/I78</f>
        <v>252.35170464779779</v>
      </c>
      <c r="M78">
        <v>76</v>
      </c>
      <c r="N78">
        <f t="shared" si="9"/>
        <v>0</v>
      </c>
      <c r="O78">
        <f ca="1">SUM($N$2:N78)/M78</f>
        <v>256.83653288829612</v>
      </c>
    </row>
    <row r="79" spans="1:15" x14ac:dyDescent="0.2">
      <c r="A79">
        <v>77</v>
      </c>
      <c r="B79" s="11">
        <f t="shared" si="6"/>
        <v>0</v>
      </c>
      <c r="C79">
        <f ca="1">SUM($B$2:B79)/A79</f>
        <v>249.07440978224196</v>
      </c>
      <c r="E79">
        <v>77</v>
      </c>
      <c r="F79" s="11">
        <f t="shared" si="7"/>
        <v>0</v>
      </c>
      <c r="G79">
        <f ca="1">SUM($F$2:F79)/E79</f>
        <v>253.50099350013645</v>
      </c>
      <c r="I79">
        <v>77</v>
      </c>
      <c r="J79">
        <f t="shared" si="8"/>
        <v>0</v>
      </c>
      <c r="K79">
        <f ca="1">SUM($J$2:J79)/I79</f>
        <v>249.07440978224196</v>
      </c>
      <c r="M79">
        <v>77</v>
      </c>
      <c r="N79">
        <f t="shared" si="9"/>
        <v>0</v>
      </c>
      <c r="O79">
        <f ca="1">SUM($N$2:N79)/M79</f>
        <v>253.50099350013645</v>
      </c>
    </row>
    <row r="80" spans="1:15" x14ac:dyDescent="0.2">
      <c r="A80">
        <v>78</v>
      </c>
      <c r="B80" s="11">
        <f t="shared" si="6"/>
        <v>0</v>
      </c>
      <c r="C80">
        <f ca="1">SUM($B$2:B80)/A80</f>
        <v>245.88114811836707</v>
      </c>
      <c r="E80">
        <v>78</v>
      </c>
      <c r="F80" s="11">
        <f t="shared" si="7"/>
        <v>0</v>
      </c>
      <c r="G80">
        <f ca="1">SUM($F$2:F80)/E80</f>
        <v>250.25098076295521</v>
      </c>
      <c r="I80">
        <v>78</v>
      </c>
      <c r="J80">
        <f t="shared" si="8"/>
        <v>0</v>
      </c>
      <c r="K80">
        <f ca="1">SUM($J$2:J80)/I80</f>
        <v>245.88114811836707</v>
      </c>
      <c r="M80">
        <v>78</v>
      </c>
      <c r="N80">
        <f t="shared" si="9"/>
        <v>0</v>
      </c>
      <c r="O80">
        <f ca="1">SUM($N$2:N80)/M80</f>
        <v>250.25098076295521</v>
      </c>
    </row>
    <row r="81" spans="1:15" x14ac:dyDescent="0.2">
      <c r="A81">
        <v>79</v>
      </c>
      <c r="B81" s="11">
        <f t="shared" si="6"/>
        <v>0</v>
      </c>
      <c r="C81">
        <f ca="1">SUM($B$2:B81)/A81</f>
        <v>242.76872852193205</v>
      </c>
      <c r="E81">
        <v>79</v>
      </c>
      <c r="F81" s="11">
        <f t="shared" si="7"/>
        <v>0</v>
      </c>
      <c r="G81">
        <f ca="1">SUM($F$2:F81)/E81</f>
        <v>247.08324682924692</v>
      </c>
      <c r="I81">
        <v>79</v>
      </c>
      <c r="J81">
        <f t="shared" si="8"/>
        <v>0</v>
      </c>
      <c r="K81">
        <f ca="1">SUM($J$2:J81)/I81</f>
        <v>242.76872852193205</v>
      </c>
      <c r="M81">
        <v>79</v>
      </c>
      <c r="N81">
        <f t="shared" si="9"/>
        <v>0</v>
      </c>
      <c r="O81">
        <f ca="1">SUM($N$2:N81)/M81</f>
        <v>247.08324682924692</v>
      </c>
    </row>
    <row r="82" spans="1:15" x14ac:dyDescent="0.2">
      <c r="A82">
        <v>80</v>
      </c>
      <c r="B82" s="11">
        <f t="shared" si="6"/>
        <v>0</v>
      </c>
      <c r="C82">
        <f ca="1">SUM($B$2:B82)/A82</f>
        <v>239.73411941540789</v>
      </c>
      <c r="E82">
        <v>80</v>
      </c>
      <c r="F82" s="11">
        <f t="shared" si="7"/>
        <v>0</v>
      </c>
      <c r="G82">
        <f ca="1">SUM($F$2:F82)/E82</f>
        <v>243.99470624388132</v>
      </c>
      <c r="I82">
        <v>80</v>
      </c>
      <c r="J82">
        <f t="shared" si="8"/>
        <v>0</v>
      </c>
      <c r="K82">
        <f ca="1">SUM($J$2:J82)/I82</f>
        <v>239.73411941540789</v>
      </c>
      <c r="M82">
        <v>80</v>
      </c>
      <c r="N82">
        <f t="shared" si="9"/>
        <v>0</v>
      </c>
      <c r="O82">
        <f ca="1">SUM($N$2:N82)/M82</f>
        <v>243.99470624388132</v>
      </c>
    </row>
    <row r="83" spans="1:15" x14ac:dyDescent="0.2">
      <c r="A83">
        <v>81</v>
      </c>
      <c r="B83" s="11">
        <f t="shared" si="6"/>
        <v>0</v>
      </c>
      <c r="C83">
        <f ca="1">SUM($B$2:B83)/A83</f>
        <v>236.77443892879793</v>
      </c>
      <c r="E83">
        <v>81</v>
      </c>
      <c r="F83" s="11">
        <f t="shared" si="7"/>
        <v>0</v>
      </c>
      <c r="G83">
        <f ca="1">SUM($F$2:F83)/E83</f>
        <v>240.98242591988279</v>
      </c>
      <c r="I83">
        <v>81</v>
      </c>
      <c r="J83">
        <f t="shared" si="8"/>
        <v>0</v>
      </c>
      <c r="K83">
        <f ca="1">SUM($J$2:J83)/I83</f>
        <v>236.77443892879793</v>
      </c>
      <c r="M83">
        <v>81</v>
      </c>
      <c r="N83">
        <f t="shared" si="9"/>
        <v>0</v>
      </c>
      <c r="O83">
        <f ca="1">SUM($N$2:N83)/M83</f>
        <v>240.98242591988279</v>
      </c>
    </row>
    <row r="84" spans="1:15" x14ac:dyDescent="0.2">
      <c r="A84">
        <v>82</v>
      </c>
      <c r="B84" s="11">
        <f t="shared" si="6"/>
        <v>0</v>
      </c>
      <c r="C84">
        <f ca="1">SUM($B$2:B84)/A84</f>
        <v>233.88694577112966</v>
      </c>
      <c r="E84">
        <v>82</v>
      </c>
      <c r="F84" s="11">
        <f t="shared" si="7"/>
        <v>0</v>
      </c>
      <c r="G84">
        <f ca="1">SUM($F$2:F84)/E84</f>
        <v>238.0436158476891</v>
      </c>
      <c r="I84">
        <v>82</v>
      </c>
      <c r="J84">
        <f t="shared" si="8"/>
        <v>0</v>
      </c>
      <c r="K84">
        <f ca="1">SUM($J$2:J84)/I84</f>
        <v>233.88694577112966</v>
      </c>
      <c r="M84">
        <v>82</v>
      </c>
      <c r="N84">
        <f t="shared" si="9"/>
        <v>0</v>
      </c>
      <c r="O84">
        <f ca="1">SUM($N$2:N84)/M84</f>
        <v>238.0436158476891</v>
      </c>
    </row>
    <row r="85" spans="1:15" x14ac:dyDescent="0.2">
      <c r="A85">
        <v>83</v>
      </c>
      <c r="B85" s="11">
        <f t="shared" si="6"/>
        <v>0</v>
      </c>
      <c r="C85">
        <f ca="1">SUM($B$2:B85)/A85</f>
        <v>231.06903076183895</v>
      </c>
      <c r="E85">
        <v>83</v>
      </c>
      <c r="F85" s="11">
        <f t="shared" si="7"/>
        <v>0</v>
      </c>
      <c r="G85">
        <f ca="1">SUM($F$2:F85)/E85</f>
        <v>235.17562047603019</v>
      </c>
      <c r="I85">
        <v>83</v>
      </c>
      <c r="J85">
        <f t="shared" si="8"/>
        <v>0</v>
      </c>
      <c r="K85">
        <f ca="1">SUM($J$2:J85)/I85</f>
        <v>231.06903076183895</v>
      </c>
      <c r="M85">
        <v>83</v>
      </c>
      <c r="N85">
        <f t="shared" si="9"/>
        <v>0</v>
      </c>
      <c r="O85">
        <f ca="1">SUM($N$2:N85)/M85</f>
        <v>235.17562047603019</v>
      </c>
    </row>
    <row r="86" spans="1:15" x14ac:dyDescent="0.2">
      <c r="A86">
        <v>84</v>
      </c>
      <c r="B86" s="11">
        <f t="shared" si="6"/>
        <v>0</v>
      </c>
      <c r="C86">
        <f ca="1">SUM($B$2:B86)/A86</f>
        <v>228.31820896705514</v>
      </c>
      <c r="E86">
        <v>84</v>
      </c>
      <c r="F86" s="11">
        <f t="shared" si="7"/>
        <v>0</v>
      </c>
      <c r="G86">
        <f ca="1">SUM($F$2:F86)/E86</f>
        <v>232.37591070845841</v>
      </c>
      <c r="I86">
        <v>84</v>
      </c>
      <c r="J86">
        <f t="shared" si="8"/>
        <v>0</v>
      </c>
      <c r="K86">
        <f ca="1">SUM($J$2:J86)/I86</f>
        <v>228.31820896705514</v>
      </c>
      <c r="M86">
        <v>84</v>
      </c>
      <c r="N86">
        <f t="shared" si="9"/>
        <v>0</v>
      </c>
      <c r="O86">
        <f ca="1">SUM($N$2:N86)/M86</f>
        <v>232.37591070845841</v>
      </c>
    </row>
    <row r="87" spans="1:15" x14ac:dyDescent="0.2">
      <c r="A87">
        <v>85</v>
      </c>
      <c r="B87" s="11">
        <f t="shared" si="6"/>
        <v>0</v>
      </c>
      <c r="C87">
        <f ca="1">SUM($B$2:B87)/A87</f>
        <v>225.63211239097214</v>
      </c>
      <c r="E87">
        <v>85</v>
      </c>
      <c r="F87" s="11">
        <f t="shared" si="7"/>
        <v>0</v>
      </c>
      <c r="G87">
        <f ca="1">SUM($F$2:F87)/E87</f>
        <v>229.64207646482947</v>
      </c>
      <c r="I87">
        <v>85</v>
      </c>
      <c r="J87">
        <f t="shared" si="8"/>
        <v>0</v>
      </c>
      <c r="K87">
        <f ca="1">SUM($J$2:J87)/I87</f>
        <v>225.63211239097214</v>
      </c>
      <c r="M87">
        <v>85</v>
      </c>
      <c r="N87">
        <f t="shared" si="9"/>
        <v>0</v>
      </c>
      <c r="O87">
        <f ca="1">SUM($N$2:N87)/M87</f>
        <v>229.64207646482947</v>
      </c>
    </row>
    <row r="88" spans="1:15" x14ac:dyDescent="0.2">
      <c r="A88">
        <v>86</v>
      </c>
      <c r="B88" s="11">
        <f t="shared" si="6"/>
        <v>0</v>
      </c>
      <c r="C88">
        <f ca="1">SUM($B$2:B88)/A88</f>
        <v>223.00848317712362</v>
      </c>
      <c r="E88">
        <v>86</v>
      </c>
      <c r="F88" s="11">
        <f t="shared" si="7"/>
        <v>0</v>
      </c>
      <c r="G88">
        <f ca="1">SUM($F$2:F88)/E88</f>
        <v>226.97181976175006</v>
      </c>
      <c r="I88">
        <v>86</v>
      </c>
      <c r="J88">
        <f t="shared" si="8"/>
        <v>0</v>
      </c>
      <c r="K88">
        <f ca="1">SUM($J$2:J88)/I88</f>
        <v>223.00848317712362</v>
      </c>
      <c r="M88">
        <v>86</v>
      </c>
      <c r="N88">
        <f t="shared" si="9"/>
        <v>0</v>
      </c>
      <c r="O88">
        <f ca="1">SUM($N$2:N88)/M88</f>
        <v>226.97181976175006</v>
      </c>
    </row>
    <row r="89" spans="1:15" x14ac:dyDescent="0.2">
      <c r="A89">
        <v>87</v>
      </c>
      <c r="B89" s="11">
        <f t="shared" si="6"/>
        <v>0</v>
      </c>
      <c r="C89">
        <f ca="1">SUM($B$2:B89)/A89</f>
        <v>220.44516727853599</v>
      </c>
      <c r="E89">
        <v>87</v>
      </c>
      <c r="F89" s="11">
        <f t="shared" si="7"/>
        <v>0</v>
      </c>
      <c r="G89">
        <f ca="1">SUM($F$2:F89)/E89</f>
        <v>224.36294827023571</v>
      </c>
      <c r="I89">
        <v>87</v>
      </c>
      <c r="J89">
        <f t="shared" si="8"/>
        <v>0</v>
      </c>
      <c r="K89">
        <f ca="1">SUM($J$2:J89)/I89</f>
        <v>220.44516727853599</v>
      </c>
      <c r="M89">
        <v>87</v>
      </c>
      <c r="N89">
        <f t="shared" si="9"/>
        <v>0</v>
      </c>
      <c r="O89">
        <f ca="1">SUM($N$2:N89)/M89</f>
        <v>224.36294827023571</v>
      </c>
    </row>
    <row r="90" spans="1:15" x14ac:dyDescent="0.2">
      <c r="A90">
        <v>88</v>
      </c>
      <c r="B90" s="11">
        <f t="shared" si="6"/>
        <v>0</v>
      </c>
      <c r="C90">
        <f ca="1">SUM($B$2:B90)/A90</f>
        <v>217.94010855946172</v>
      </c>
      <c r="E90">
        <v>88</v>
      </c>
      <c r="F90" s="11">
        <f t="shared" si="7"/>
        <v>0</v>
      </c>
      <c r="G90">
        <f ca="1">SUM($F$2:F90)/E90</f>
        <v>221.81336931261939</v>
      </c>
      <c r="I90">
        <v>88</v>
      </c>
      <c r="J90">
        <f t="shared" si="8"/>
        <v>0</v>
      </c>
      <c r="K90">
        <f ca="1">SUM($J$2:J90)/I90</f>
        <v>217.94010855946172</v>
      </c>
      <c r="M90">
        <v>88</v>
      </c>
      <c r="N90">
        <f t="shared" si="9"/>
        <v>0</v>
      </c>
      <c r="O90">
        <f ca="1">SUM($N$2:N90)/M90</f>
        <v>221.81336931261939</v>
      </c>
    </row>
    <row r="91" spans="1:15" x14ac:dyDescent="0.2">
      <c r="A91">
        <v>89</v>
      </c>
      <c r="B91" s="11">
        <f t="shared" si="6"/>
        <v>0</v>
      </c>
      <c r="C91">
        <f ca="1">SUM($B$2:B91)/A91</f>
        <v>215.49134329474867</v>
      </c>
      <c r="E91">
        <v>89</v>
      </c>
      <c r="F91" s="11">
        <f t="shared" si="7"/>
        <v>0</v>
      </c>
      <c r="G91">
        <f ca="1">SUM($F$2:F91)/E91</f>
        <v>219.32108426416298</v>
      </c>
      <c r="I91">
        <v>89</v>
      </c>
      <c r="J91">
        <f t="shared" si="8"/>
        <v>0</v>
      </c>
      <c r="K91">
        <f ca="1">SUM($J$2:J91)/I91</f>
        <v>215.49134329474867</v>
      </c>
      <c r="M91">
        <v>89</v>
      </c>
      <c r="N91">
        <f t="shared" si="9"/>
        <v>0</v>
      </c>
      <c r="O91">
        <f ca="1">SUM($N$2:N91)/M91</f>
        <v>219.32108426416298</v>
      </c>
    </row>
    <row r="92" spans="1:15" x14ac:dyDescent="0.2">
      <c r="A92">
        <v>90</v>
      </c>
      <c r="B92" s="11">
        <f t="shared" si="6"/>
        <v>0</v>
      </c>
      <c r="C92">
        <f ca="1">SUM($B$2:B92)/A92</f>
        <v>213.09699503591813</v>
      </c>
      <c r="E92">
        <v>90</v>
      </c>
      <c r="F92" s="11">
        <f t="shared" si="7"/>
        <v>0</v>
      </c>
      <c r="G92">
        <f ca="1">SUM($F$2:F92)/E92</f>
        <v>216.8841833278945</v>
      </c>
      <c r="I92">
        <v>90</v>
      </c>
      <c r="J92">
        <f t="shared" si="8"/>
        <v>0</v>
      </c>
      <c r="K92">
        <f ca="1">SUM($J$2:J92)/I92</f>
        <v>213.09699503591813</v>
      </c>
      <c r="M92">
        <v>90</v>
      </c>
      <c r="N92">
        <f t="shared" si="9"/>
        <v>0</v>
      </c>
      <c r="O92">
        <f ca="1">SUM($N$2:N92)/M92</f>
        <v>216.8841833278945</v>
      </c>
    </row>
    <row r="93" spans="1:15" x14ac:dyDescent="0.2">
      <c r="A93">
        <v>91</v>
      </c>
      <c r="B93" s="11">
        <f t="shared" si="6"/>
        <v>0</v>
      </c>
      <c r="C93">
        <f ca="1">SUM($B$2:B93)/A93</f>
        <v>210.75526981574319</v>
      </c>
      <c r="E93">
        <v>91</v>
      </c>
      <c r="F93" s="11">
        <f t="shared" si="7"/>
        <v>0</v>
      </c>
      <c r="G93">
        <f ca="1">SUM($F$2:F93)/E93</f>
        <v>214.5008406539616</v>
      </c>
      <c r="I93">
        <v>91</v>
      </c>
      <c r="J93">
        <f t="shared" si="8"/>
        <v>0</v>
      </c>
      <c r="K93">
        <f ca="1">SUM($J$2:J93)/I93</f>
        <v>210.75526981574319</v>
      </c>
      <c r="M93">
        <v>91</v>
      </c>
      <c r="N93">
        <f t="shared" si="9"/>
        <v>0</v>
      </c>
      <c r="O93">
        <f ca="1">SUM($N$2:N93)/M93</f>
        <v>214.5008406539616</v>
      </c>
    </row>
    <row r="94" spans="1:15" x14ac:dyDescent="0.2">
      <c r="A94">
        <v>92</v>
      </c>
      <c r="B94" s="11">
        <f t="shared" si="6"/>
        <v>0</v>
      </c>
      <c r="C94">
        <f ca="1">SUM($B$2:B94)/A94</f>
        <v>208.46445166557208</v>
      </c>
      <c r="E94">
        <v>92</v>
      </c>
      <c r="F94" s="11">
        <f t="shared" si="7"/>
        <v>0</v>
      </c>
      <c r="G94">
        <f ca="1">SUM($F$2:F94)/E94</f>
        <v>212.16930977728811</v>
      </c>
      <c r="I94">
        <v>92</v>
      </c>
      <c r="J94">
        <f t="shared" si="8"/>
        <v>0</v>
      </c>
      <c r="K94">
        <f ca="1">SUM($J$2:J94)/I94</f>
        <v>208.46445166557208</v>
      </c>
      <c r="M94">
        <v>92</v>
      </c>
      <c r="N94">
        <f t="shared" si="9"/>
        <v>0</v>
      </c>
      <c r="O94">
        <f ca="1">SUM($N$2:N94)/M94</f>
        <v>212.16930977728811</v>
      </c>
    </row>
    <row r="95" spans="1:15" x14ac:dyDescent="0.2">
      <c r="A95">
        <v>93</v>
      </c>
      <c r="B95" s="11">
        <f t="shared" si="6"/>
        <v>0</v>
      </c>
      <c r="C95">
        <f ca="1">SUM($B$2:B95)/A95</f>
        <v>206.22289842185626</v>
      </c>
      <c r="E95">
        <v>93</v>
      </c>
      <c r="F95" s="11">
        <f t="shared" si="7"/>
        <v>0</v>
      </c>
      <c r="G95">
        <f ca="1">SUM($F$2:F95)/E95</f>
        <v>209.88791934957533</v>
      </c>
      <c r="I95">
        <v>93</v>
      </c>
      <c r="J95">
        <f t="shared" si="8"/>
        <v>0</v>
      </c>
      <c r="K95">
        <f ca="1">SUM($J$2:J95)/I95</f>
        <v>206.22289842185626</v>
      </c>
      <c r="M95">
        <v>93</v>
      </c>
      <c r="N95">
        <f t="shared" si="9"/>
        <v>0</v>
      </c>
      <c r="O95">
        <f ca="1">SUM($N$2:N95)/M95</f>
        <v>209.88791934957533</v>
      </c>
    </row>
    <row r="96" spans="1:15" x14ac:dyDescent="0.2">
      <c r="A96">
        <v>94</v>
      </c>
      <c r="B96" s="11">
        <f t="shared" si="6"/>
        <v>0</v>
      </c>
      <c r="C96">
        <f ca="1">SUM($B$2:B96)/A96</f>
        <v>204.02903780034714</v>
      </c>
      <c r="E96">
        <v>94</v>
      </c>
      <c r="F96" s="11">
        <f t="shared" si="7"/>
        <v>0</v>
      </c>
      <c r="G96">
        <f ca="1">SUM($F$2:F96)/E96</f>
        <v>207.65506914372878</v>
      </c>
      <c r="I96">
        <v>94</v>
      </c>
      <c r="J96">
        <f t="shared" si="8"/>
        <v>0</v>
      </c>
      <c r="K96">
        <f ca="1">SUM($J$2:J96)/I96</f>
        <v>204.02903780034714</v>
      </c>
      <c r="M96">
        <v>94</v>
      </c>
      <c r="N96">
        <f t="shared" si="9"/>
        <v>0</v>
      </c>
      <c r="O96">
        <f ca="1">SUM($N$2:N96)/M96</f>
        <v>207.65506914372878</v>
      </c>
    </row>
    <row r="97" spans="1:15" x14ac:dyDescent="0.2">
      <c r="A97">
        <v>95</v>
      </c>
      <c r="B97" s="11">
        <f t="shared" si="6"/>
        <v>0</v>
      </c>
      <c r="C97">
        <f ca="1">SUM($B$2:B97)/A97</f>
        <v>201.88136371823822</v>
      </c>
      <c r="E97">
        <v>95</v>
      </c>
      <c r="F97" s="11">
        <f t="shared" si="7"/>
        <v>0</v>
      </c>
      <c r="G97">
        <f ca="1">SUM($F$2:F97)/E97</f>
        <v>205.46922631063691</v>
      </c>
      <c r="I97">
        <v>95</v>
      </c>
      <c r="J97">
        <f t="shared" si="8"/>
        <v>0</v>
      </c>
      <c r="K97">
        <f ca="1">SUM($J$2:J97)/I97</f>
        <v>201.88136371823822</v>
      </c>
      <c r="M97">
        <v>95</v>
      </c>
      <c r="N97">
        <f t="shared" si="9"/>
        <v>0</v>
      </c>
      <c r="O97">
        <f ca="1">SUM($N$2:N97)/M97</f>
        <v>205.46922631063691</v>
      </c>
    </row>
    <row r="98" spans="1:15" x14ac:dyDescent="0.2">
      <c r="A98">
        <v>96</v>
      </c>
      <c r="B98" s="11">
        <f t="shared" si="6"/>
        <v>0</v>
      </c>
      <c r="C98">
        <f ca="1">SUM($B$2:B98)/A98</f>
        <v>199.77843284617325</v>
      </c>
      <c r="E98">
        <v>96</v>
      </c>
      <c r="F98" s="11">
        <f t="shared" si="7"/>
        <v>0</v>
      </c>
      <c r="G98">
        <f ca="1">SUM($F$2:F98)/E98</f>
        <v>203.32892186990111</v>
      </c>
      <c r="I98">
        <v>96</v>
      </c>
      <c r="J98">
        <f t="shared" si="8"/>
        <v>0</v>
      </c>
      <c r="K98">
        <f ca="1">SUM($J$2:J98)/I98</f>
        <v>199.77843284617325</v>
      </c>
      <c r="M98">
        <v>96</v>
      </c>
      <c r="N98">
        <f t="shared" si="9"/>
        <v>0</v>
      </c>
      <c r="O98">
        <f ca="1">SUM($N$2:N98)/M98</f>
        <v>203.32892186990111</v>
      </c>
    </row>
    <row r="99" spans="1:15" x14ac:dyDescent="0.2">
      <c r="A99">
        <v>97</v>
      </c>
      <c r="B99" s="11">
        <f t="shared" si="6"/>
        <v>0</v>
      </c>
      <c r="C99">
        <f ca="1">SUM($B$2:B99)/A99</f>
        <v>197.71886137353229</v>
      </c>
      <c r="E99">
        <v>97</v>
      </c>
      <c r="F99" s="11">
        <f t="shared" si="7"/>
        <v>0</v>
      </c>
      <c r="G99">
        <f ca="1">SUM($F$2:F99)/E99</f>
        <v>201.23274741763407</v>
      </c>
      <c r="I99">
        <v>97</v>
      </c>
      <c r="J99">
        <f t="shared" si="8"/>
        <v>0</v>
      </c>
      <c r="K99">
        <f ca="1">SUM($J$2:J99)/I99</f>
        <v>197.71886137353229</v>
      </c>
      <c r="M99">
        <v>97</v>
      </c>
      <c r="N99">
        <f t="shared" si="9"/>
        <v>0</v>
      </c>
      <c r="O99">
        <f ca="1">SUM($N$2:N99)/M99</f>
        <v>201.23274741763407</v>
      </c>
    </row>
    <row r="100" spans="1:15" x14ac:dyDescent="0.2">
      <c r="A100">
        <v>98</v>
      </c>
      <c r="B100" s="11">
        <f t="shared" si="6"/>
        <v>0</v>
      </c>
      <c r="C100">
        <f ca="1">SUM($B$2:B100)/A100</f>
        <v>195.70132197176156</v>
      </c>
      <c r="E100">
        <v>98</v>
      </c>
      <c r="F100" s="11">
        <f t="shared" si="7"/>
        <v>0</v>
      </c>
      <c r="G100">
        <f ca="1">SUM($F$2:F100)/E100</f>
        <v>199.17935203582149</v>
      </c>
      <c r="I100">
        <v>98</v>
      </c>
      <c r="J100">
        <f t="shared" si="8"/>
        <v>0</v>
      </c>
      <c r="K100">
        <f ca="1">SUM($J$2:J100)/I100</f>
        <v>195.70132197176156</v>
      </c>
      <c r="M100">
        <v>98</v>
      </c>
      <c r="N100">
        <f t="shared" si="9"/>
        <v>0</v>
      </c>
      <c r="O100">
        <f ca="1">SUM($N$2:N100)/M100</f>
        <v>199.17935203582149</v>
      </c>
    </row>
    <row r="101" spans="1:15" x14ac:dyDescent="0.2">
      <c r="A101">
        <v>99</v>
      </c>
      <c r="B101" s="11">
        <f t="shared" si="6"/>
        <v>0</v>
      </c>
      <c r="C101">
        <f ca="1">SUM($B$2:B101)/A101</f>
        <v>193.72454094174375</v>
      </c>
      <c r="E101">
        <v>99</v>
      </c>
      <c r="F101" s="11">
        <f t="shared" si="7"/>
        <v>0</v>
      </c>
      <c r="G101">
        <f ca="1">SUM($F$2:F101)/E101</f>
        <v>197.16743938899501</v>
      </c>
      <c r="I101">
        <v>99</v>
      </c>
      <c r="J101">
        <f t="shared" si="8"/>
        <v>0</v>
      </c>
      <c r="K101">
        <f ca="1">SUM($J$2:J101)/I101</f>
        <v>193.72454094174375</v>
      </c>
      <c r="M101">
        <v>99</v>
      </c>
      <c r="N101">
        <f t="shared" si="9"/>
        <v>0</v>
      </c>
      <c r="O101">
        <f ca="1">SUM($N$2:N101)/M101</f>
        <v>197.16743938899501</v>
      </c>
    </row>
    <row r="102" spans="1:15" x14ac:dyDescent="0.2">
      <c r="A102">
        <v>100</v>
      </c>
      <c r="B102" s="11">
        <f t="shared" si="6"/>
        <v>0</v>
      </c>
      <c r="C102">
        <f ca="1">SUM($B$2:B102)/A102</f>
        <v>191.78729553232631</v>
      </c>
      <c r="E102">
        <v>100</v>
      </c>
      <c r="F102" s="11">
        <f t="shared" si="7"/>
        <v>0</v>
      </c>
      <c r="G102">
        <f ca="1">SUM($F$2:F102)/E102</f>
        <v>195.19576499510507</v>
      </c>
      <c r="I102">
        <v>100</v>
      </c>
      <c r="J102">
        <f t="shared" si="8"/>
        <v>0</v>
      </c>
      <c r="K102">
        <f ca="1">SUM($J$2:J102)/I102</f>
        <v>191.78729553232631</v>
      </c>
      <c r="M102">
        <v>100</v>
      </c>
      <c r="N102">
        <f t="shared" si="9"/>
        <v>0</v>
      </c>
      <c r="O102">
        <f ca="1">SUM($N$2:N102)/M102</f>
        <v>195.19576499510507</v>
      </c>
    </row>
    <row r="103" spans="1:15" x14ac:dyDescent="0.2">
      <c r="A103">
        <v>101</v>
      </c>
      <c r="B103" s="11">
        <f t="shared" si="6"/>
        <v>0</v>
      </c>
      <c r="C103">
        <f ca="1">SUM($B$2:B103)/A103</f>
        <v>189.88841141814487</v>
      </c>
      <c r="E103">
        <v>101</v>
      </c>
      <c r="F103" s="11">
        <f t="shared" si="7"/>
        <v>0</v>
      </c>
      <c r="G103">
        <f ca="1">SUM($F$2:F103)/E103</f>
        <v>193.26313365851985</v>
      </c>
      <c r="I103">
        <v>101</v>
      </c>
      <c r="J103">
        <f t="shared" si="8"/>
        <v>0</v>
      </c>
      <c r="K103">
        <f ca="1">SUM($J$2:J103)/I103</f>
        <v>189.88841141814487</v>
      </c>
      <c r="M103">
        <v>101</v>
      </c>
      <c r="N103">
        <f t="shared" si="9"/>
        <v>0</v>
      </c>
      <c r="O103">
        <f ca="1">SUM($N$2:N103)/M103</f>
        <v>193.26313365851985</v>
      </c>
    </row>
    <row r="104" spans="1:15" x14ac:dyDescent="0.2">
      <c r="A104">
        <v>102</v>
      </c>
      <c r="B104" s="11">
        <f t="shared" si="6"/>
        <v>0</v>
      </c>
      <c r="C104">
        <f ca="1">SUM($B$2:B104)/A104</f>
        <v>188.0267603258101</v>
      </c>
      <c r="E104">
        <v>102</v>
      </c>
      <c r="F104" s="11">
        <f t="shared" si="7"/>
        <v>0</v>
      </c>
      <c r="G104">
        <f ca="1">SUM($F$2:F104)/E104</f>
        <v>191.36839705402457</v>
      </c>
      <c r="I104">
        <v>102</v>
      </c>
      <c r="J104">
        <f t="shared" si="8"/>
        <v>0</v>
      </c>
      <c r="K104">
        <f ca="1">SUM($J$2:J104)/I104</f>
        <v>188.0267603258101</v>
      </c>
      <c r="M104">
        <v>102</v>
      </c>
      <c r="N104">
        <f t="shared" si="9"/>
        <v>0</v>
      </c>
      <c r="O104">
        <f ca="1">SUM($N$2:N104)/M104</f>
        <v>191.36839705402457</v>
      </c>
    </row>
    <row r="105" spans="1:15" x14ac:dyDescent="0.2">
      <c r="A105">
        <v>103</v>
      </c>
      <c r="B105" s="11">
        <f t="shared" si="6"/>
        <v>0</v>
      </c>
      <c r="C105">
        <f ca="1">SUM($B$2:B105)/A105</f>
        <v>186.20125779837505</v>
      </c>
      <c r="E105">
        <v>103</v>
      </c>
      <c r="F105" s="11">
        <f t="shared" si="7"/>
        <v>0</v>
      </c>
      <c r="G105">
        <f ca="1">SUM($F$2:F105)/E105</f>
        <v>189.51045145155831</v>
      </c>
      <c r="I105">
        <v>103</v>
      </c>
      <c r="J105">
        <f t="shared" si="8"/>
        <v>0</v>
      </c>
      <c r="K105">
        <f ca="1">SUM($J$2:J105)/I105</f>
        <v>186.20125779837505</v>
      </c>
      <c r="M105">
        <v>103</v>
      </c>
      <c r="N105">
        <f t="shared" si="9"/>
        <v>0</v>
      </c>
      <c r="O105">
        <f ca="1">SUM($N$2:N105)/M105</f>
        <v>189.51045145155831</v>
      </c>
    </row>
    <row r="106" spans="1:15" x14ac:dyDescent="0.2">
      <c r="A106">
        <v>104</v>
      </c>
      <c r="B106" s="11">
        <f t="shared" si="6"/>
        <v>0</v>
      </c>
      <c r="C106">
        <f ca="1">SUM($B$2:B106)/A106</f>
        <v>184.41086108877531</v>
      </c>
      <c r="E106">
        <v>104</v>
      </c>
      <c r="F106" s="11">
        <f t="shared" si="7"/>
        <v>0</v>
      </c>
      <c r="G106">
        <f ca="1">SUM($F$2:F106)/E106</f>
        <v>187.6882355722164</v>
      </c>
      <c r="I106">
        <v>104</v>
      </c>
      <c r="J106">
        <f t="shared" si="8"/>
        <v>0</v>
      </c>
      <c r="K106">
        <f ca="1">SUM($J$2:J106)/I106</f>
        <v>184.41086108877531</v>
      </c>
      <c r="M106">
        <v>104</v>
      </c>
      <c r="N106">
        <f t="shared" si="9"/>
        <v>0</v>
      </c>
      <c r="O106">
        <f ca="1">SUM($N$2:N106)/M106</f>
        <v>187.6882355722164</v>
      </c>
    </row>
    <row r="107" spans="1:15" x14ac:dyDescent="0.2">
      <c r="A107">
        <v>105</v>
      </c>
      <c r="B107" s="11">
        <f t="shared" si="6"/>
        <v>0</v>
      </c>
      <c r="C107">
        <f ca="1">SUM($B$2:B107)/A107</f>
        <v>182.6545671736441</v>
      </c>
      <c r="E107">
        <v>105</v>
      </c>
      <c r="F107" s="11">
        <f t="shared" si="7"/>
        <v>0</v>
      </c>
      <c r="G107">
        <f ca="1">SUM($F$2:F107)/E107</f>
        <v>185.90072856676673</v>
      </c>
      <c r="I107">
        <v>105</v>
      </c>
      <c r="J107">
        <f t="shared" si="8"/>
        <v>0</v>
      </c>
      <c r="K107">
        <f ca="1">SUM($J$2:J107)/I107</f>
        <v>182.6545671736441</v>
      </c>
      <c r="M107">
        <v>105</v>
      </c>
      <c r="N107">
        <f t="shared" si="9"/>
        <v>0</v>
      </c>
      <c r="O107">
        <f ca="1">SUM($N$2:N107)/M107</f>
        <v>185.90072856676673</v>
      </c>
    </row>
    <row r="108" spans="1:15" x14ac:dyDescent="0.2">
      <c r="A108">
        <v>106</v>
      </c>
      <c r="B108" s="11">
        <f t="shared" si="6"/>
        <v>0</v>
      </c>
      <c r="C108">
        <f ca="1">SUM($B$2:B108)/A108</f>
        <v>180.93141087955314</v>
      </c>
      <c r="E108">
        <v>106</v>
      </c>
      <c r="F108" s="11">
        <f t="shared" si="7"/>
        <v>0</v>
      </c>
      <c r="G108">
        <f ca="1">SUM($F$2:F108)/E108</f>
        <v>184.14694810858967</v>
      </c>
      <c r="I108">
        <v>106</v>
      </c>
      <c r="J108">
        <f t="shared" si="8"/>
        <v>0</v>
      </c>
      <c r="K108">
        <f ca="1">SUM($J$2:J108)/I108</f>
        <v>180.93141087955314</v>
      </c>
      <c r="M108">
        <v>106</v>
      </c>
      <c r="N108">
        <f t="shared" si="9"/>
        <v>0</v>
      </c>
      <c r="O108">
        <f ca="1">SUM($N$2:N108)/M108</f>
        <v>184.14694810858967</v>
      </c>
    </row>
    <row r="109" spans="1:15" x14ac:dyDescent="0.2">
      <c r="A109">
        <v>107</v>
      </c>
      <c r="B109" s="11">
        <f t="shared" si="6"/>
        <v>0</v>
      </c>
      <c r="C109">
        <f ca="1">SUM($B$2:B109)/A109</f>
        <v>179.24046311432366</v>
      </c>
      <c r="E109">
        <v>107</v>
      </c>
      <c r="F109" s="11">
        <f t="shared" si="7"/>
        <v>0</v>
      </c>
      <c r="G109">
        <f ca="1">SUM($F$2:F109)/E109</f>
        <v>182.42594859355611</v>
      </c>
      <c r="I109">
        <v>107</v>
      </c>
      <c r="J109">
        <f t="shared" si="8"/>
        <v>0</v>
      </c>
      <c r="K109">
        <f ca="1">SUM($J$2:J109)/I109</f>
        <v>179.24046311432366</v>
      </c>
      <c r="M109">
        <v>107</v>
      </c>
      <c r="N109">
        <f t="shared" si="9"/>
        <v>0</v>
      </c>
      <c r="O109">
        <f ca="1">SUM($N$2:N109)/M109</f>
        <v>182.42594859355611</v>
      </c>
    </row>
    <row r="110" spans="1:15" x14ac:dyDescent="0.2">
      <c r="A110">
        <v>108</v>
      </c>
      <c r="B110" s="11">
        <f t="shared" si="6"/>
        <v>0</v>
      </c>
      <c r="C110">
        <f ca="1">SUM($B$2:B110)/A110</f>
        <v>177.58082919659844</v>
      </c>
      <c r="E110">
        <v>108</v>
      </c>
      <c r="F110" s="11">
        <f t="shared" si="7"/>
        <v>0</v>
      </c>
      <c r="G110">
        <f ca="1">SUM($F$2:F110)/E110</f>
        <v>180.7368194399121</v>
      </c>
      <c r="I110">
        <v>108</v>
      </c>
      <c r="J110">
        <f t="shared" si="8"/>
        <v>0</v>
      </c>
      <c r="K110">
        <f ca="1">SUM($J$2:J110)/I110</f>
        <v>177.58082919659844</v>
      </c>
      <c r="M110">
        <v>108</v>
      </c>
      <c r="N110">
        <f t="shared" si="9"/>
        <v>0</v>
      </c>
      <c r="O110">
        <f ca="1">SUM($N$2:N110)/M110</f>
        <v>180.7368194399121</v>
      </c>
    </row>
    <row r="111" spans="1:15" x14ac:dyDescent="0.2">
      <c r="A111">
        <v>109</v>
      </c>
      <c r="B111" s="11">
        <f t="shared" si="6"/>
        <v>0</v>
      </c>
      <c r="C111">
        <f ca="1">SUM($B$2:B111)/A111</f>
        <v>175.95164727736361</v>
      </c>
      <c r="E111">
        <v>109</v>
      </c>
      <c r="F111" s="11">
        <f t="shared" si="7"/>
        <v>0</v>
      </c>
      <c r="G111">
        <f ca="1">SUM($F$2:F111)/E111</f>
        <v>179.07868348174776</v>
      </c>
      <c r="I111">
        <v>109</v>
      </c>
      <c r="J111">
        <f t="shared" si="8"/>
        <v>0</v>
      </c>
      <c r="K111">
        <f ca="1">SUM($J$2:J111)/I111</f>
        <v>175.95164727736361</v>
      </c>
      <c r="M111">
        <v>109</v>
      </c>
      <c r="N111">
        <f t="shared" si="9"/>
        <v>0</v>
      </c>
      <c r="O111">
        <f ca="1">SUM($N$2:N111)/M111</f>
        <v>179.07868348174776</v>
      </c>
    </row>
    <row r="112" spans="1:15" x14ac:dyDescent="0.2">
      <c r="A112">
        <v>110</v>
      </c>
      <c r="B112" s="11">
        <f t="shared" si="6"/>
        <v>0</v>
      </c>
      <c r="C112">
        <f ca="1">SUM($B$2:B112)/A112</f>
        <v>174.35208684756938</v>
      </c>
      <c r="E112">
        <v>110</v>
      </c>
      <c r="F112" s="11">
        <f t="shared" si="7"/>
        <v>0</v>
      </c>
      <c r="G112">
        <f ca="1">SUM($F$2:F112)/E112</f>
        <v>177.45069545009551</v>
      </c>
      <c r="I112">
        <v>110</v>
      </c>
      <c r="J112">
        <f t="shared" si="8"/>
        <v>0</v>
      </c>
      <c r="K112">
        <f ca="1">SUM($J$2:J112)/I112</f>
        <v>174.35208684756938</v>
      </c>
      <c r="M112">
        <v>110</v>
      </c>
      <c r="N112">
        <f t="shared" si="9"/>
        <v>0</v>
      </c>
      <c r="O112">
        <f ca="1">SUM($N$2:N112)/M112</f>
        <v>177.45069545009551</v>
      </c>
    </row>
    <row r="113" spans="1:15" x14ac:dyDescent="0.2">
      <c r="A113">
        <v>111</v>
      </c>
      <c r="B113" s="11">
        <f t="shared" si="6"/>
        <v>0</v>
      </c>
      <c r="C113">
        <f ca="1">SUM($B$2:B113)/A113</f>
        <v>172.7813473264201</v>
      </c>
      <c r="E113">
        <v>111</v>
      </c>
      <c r="F113" s="11">
        <f t="shared" si="7"/>
        <v>0</v>
      </c>
      <c r="G113">
        <f ca="1">SUM($F$2:F113)/E113</f>
        <v>175.85204053613069</v>
      </c>
      <c r="I113">
        <v>111</v>
      </c>
      <c r="J113">
        <f t="shared" si="8"/>
        <v>0</v>
      </c>
      <c r="K113">
        <f ca="1">SUM($J$2:J113)/I113</f>
        <v>172.7813473264201</v>
      </c>
      <c r="M113">
        <v>111</v>
      </c>
      <c r="N113">
        <f t="shared" si="9"/>
        <v>0</v>
      </c>
      <c r="O113">
        <f ca="1">SUM($N$2:N113)/M113</f>
        <v>175.85204053613069</v>
      </c>
    </row>
    <row r="114" spans="1:15" x14ac:dyDescent="0.2">
      <c r="A114">
        <v>112</v>
      </c>
      <c r="B114" s="11">
        <f t="shared" si="6"/>
        <v>0</v>
      </c>
      <c r="C114">
        <f ca="1">SUM($B$2:B114)/A114</f>
        <v>171.23865672529135</v>
      </c>
      <c r="E114">
        <v>112</v>
      </c>
      <c r="F114" s="11">
        <f t="shared" si="7"/>
        <v>0</v>
      </c>
      <c r="G114">
        <f ca="1">SUM($F$2:F114)/E114</f>
        <v>174.28193303134381</v>
      </c>
      <c r="I114">
        <v>112</v>
      </c>
      <c r="J114">
        <f t="shared" si="8"/>
        <v>0</v>
      </c>
      <c r="K114">
        <f ca="1">SUM($J$2:J114)/I114</f>
        <v>171.23865672529135</v>
      </c>
      <c r="M114">
        <v>112</v>
      </c>
      <c r="N114">
        <f t="shared" si="9"/>
        <v>0</v>
      </c>
      <c r="O114">
        <f ca="1">SUM($N$2:N114)/M114</f>
        <v>174.28193303134381</v>
      </c>
    </row>
    <row r="115" spans="1:15" x14ac:dyDescent="0.2">
      <c r="A115">
        <v>113</v>
      </c>
      <c r="B115" s="11">
        <f t="shared" si="6"/>
        <v>0</v>
      </c>
      <c r="C115">
        <f ca="1">SUM($B$2:B115)/A115</f>
        <v>169.72327038258965</v>
      </c>
      <c r="E115">
        <v>113</v>
      </c>
      <c r="F115" s="11">
        <f t="shared" si="7"/>
        <v>0</v>
      </c>
      <c r="G115">
        <f ca="1">SUM($F$2:F115)/E115</f>
        <v>172.73961503991598</v>
      </c>
      <c r="I115">
        <v>113</v>
      </c>
      <c r="J115">
        <f t="shared" si="8"/>
        <v>0</v>
      </c>
      <c r="K115">
        <f ca="1">SUM($J$2:J115)/I115</f>
        <v>169.72327038258965</v>
      </c>
      <c r="M115">
        <v>113</v>
      </c>
      <c r="N115">
        <f t="shared" si="9"/>
        <v>0</v>
      </c>
      <c r="O115">
        <f ca="1">SUM($N$2:N115)/M115</f>
        <v>172.73961503991598</v>
      </c>
    </row>
    <row r="116" spans="1:15" x14ac:dyDescent="0.2">
      <c r="A116">
        <v>114</v>
      </c>
      <c r="B116" s="11">
        <f t="shared" si="6"/>
        <v>0</v>
      </c>
      <c r="C116">
        <f ca="1">SUM($B$2:B116)/A116</f>
        <v>168.23446976519853</v>
      </c>
      <c r="E116">
        <v>114</v>
      </c>
      <c r="F116" s="11">
        <f t="shared" si="7"/>
        <v>0</v>
      </c>
      <c r="G116">
        <f ca="1">SUM($F$2:F116)/E116</f>
        <v>171.22435525886408</v>
      </c>
      <c r="I116">
        <v>114</v>
      </c>
      <c r="J116">
        <f t="shared" si="8"/>
        <v>0</v>
      </c>
      <c r="K116">
        <f ca="1">SUM($J$2:J116)/I116</f>
        <v>168.23446976519853</v>
      </c>
      <c r="M116">
        <v>114</v>
      </c>
      <c r="N116">
        <f t="shared" si="9"/>
        <v>0</v>
      </c>
      <c r="O116">
        <f ca="1">SUM($N$2:N116)/M116</f>
        <v>171.22435525886408</v>
      </c>
    </row>
    <row r="117" spans="1:15" x14ac:dyDescent="0.2">
      <c r="A117">
        <v>115</v>
      </c>
      <c r="B117" s="11">
        <f t="shared" si="6"/>
        <v>0</v>
      </c>
      <c r="C117">
        <f ca="1">SUM($B$2:B117)/A117</f>
        <v>166.77156133245768</v>
      </c>
      <c r="E117">
        <v>115</v>
      </c>
      <c r="F117" s="11">
        <f t="shared" si="7"/>
        <v>0</v>
      </c>
      <c r="G117">
        <f ca="1">SUM($F$2:F117)/E117</f>
        <v>169.73544782183049</v>
      </c>
      <c r="I117">
        <v>115</v>
      </c>
      <c r="J117">
        <f t="shared" si="8"/>
        <v>0</v>
      </c>
      <c r="K117">
        <f ca="1">SUM($J$2:J117)/I117</f>
        <v>166.77156133245768</v>
      </c>
      <c r="M117">
        <v>115</v>
      </c>
      <c r="N117">
        <f t="shared" si="9"/>
        <v>0</v>
      </c>
      <c r="O117">
        <f ca="1">SUM($N$2:N117)/M117</f>
        <v>169.73544782183049</v>
      </c>
    </row>
    <row r="118" spans="1:15" x14ac:dyDescent="0.2">
      <c r="A118">
        <v>116</v>
      </c>
      <c r="B118" s="11">
        <f t="shared" si="6"/>
        <v>0</v>
      </c>
      <c r="C118">
        <f ca="1">SUM($B$2:B118)/A118</f>
        <v>165.33387545890199</v>
      </c>
      <c r="E118">
        <v>116</v>
      </c>
      <c r="F118" s="11">
        <f t="shared" si="7"/>
        <v>0</v>
      </c>
      <c r="G118">
        <f ca="1">SUM($F$2:F118)/E118</f>
        <v>168.27221120267677</v>
      </c>
      <c r="I118">
        <v>116</v>
      </c>
      <c r="J118">
        <f t="shared" si="8"/>
        <v>0</v>
      </c>
      <c r="K118">
        <f ca="1">SUM($J$2:J118)/I118</f>
        <v>165.33387545890199</v>
      </c>
      <c r="M118">
        <v>116</v>
      </c>
      <c r="N118">
        <f t="shared" si="9"/>
        <v>0</v>
      </c>
      <c r="O118">
        <f ca="1">SUM($N$2:N118)/M118</f>
        <v>168.27221120267677</v>
      </c>
    </row>
    <row r="119" spans="1:15" x14ac:dyDescent="0.2">
      <c r="A119">
        <v>117</v>
      </c>
      <c r="B119" s="11">
        <f t="shared" si="6"/>
        <v>0</v>
      </c>
      <c r="C119">
        <f ca="1">SUM($B$2:B119)/A119</f>
        <v>163.92076541224472</v>
      </c>
      <c r="E119">
        <v>117</v>
      </c>
      <c r="F119" s="11">
        <f t="shared" si="7"/>
        <v>0</v>
      </c>
      <c r="G119">
        <f ca="1">SUM($F$2:F119)/E119</f>
        <v>166.83398717530346</v>
      </c>
      <c r="I119">
        <v>117</v>
      </c>
      <c r="J119">
        <f t="shared" si="8"/>
        <v>0</v>
      </c>
      <c r="K119">
        <f ca="1">SUM($J$2:J119)/I119</f>
        <v>163.92076541224472</v>
      </c>
      <c r="M119">
        <v>117</v>
      </c>
      <c r="N119">
        <f t="shared" si="9"/>
        <v>0</v>
      </c>
      <c r="O119">
        <f ca="1">SUM($N$2:N119)/M119</f>
        <v>166.83398717530346</v>
      </c>
    </row>
    <row r="120" spans="1:15" x14ac:dyDescent="0.2">
      <c r="A120">
        <v>118</v>
      </c>
      <c r="B120" s="11">
        <f t="shared" si="6"/>
        <v>0</v>
      </c>
      <c r="C120">
        <f ca="1">SUM($B$2:B120)/A120</f>
        <v>162.53160638332739</v>
      </c>
      <c r="E120">
        <v>118</v>
      </c>
      <c r="F120" s="11">
        <f t="shared" si="7"/>
        <v>0</v>
      </c>
      <c r="G120">
        <f ca="1">SUM($F$2:F120)/E120</f>
        <v>165.42013982636021</v>
      </c>
      <c r="I120">
        <v>118</v>
      </c>
      <c r="J120">
        <f t="shared" si="8"/>
        <v>0</v>
      </c>
      <c r="K120">
        <f ca="1">SUM($J$2:J120)/I120</f>
        <v>162.53160638332739</v>
      </c>
      <c r="M120">
        <v>118</v>
      </c>
      <c r="N120">
        <f t="shared" si="9"/>
        <v>0</v>
      </c>
      <c r="O120">
        <f ca="1">SUM($N$2:N120)/M120</f>
        <v>165.42013982636021</v>
      </c>
    </row>
    <row r="121" spans="1:15" x14ac:dyDescent="0.2">
      <c r="A121">
        <v>119</v>
      </c>
      <c r="B121" s="11">
        <f t="shared" si="6"/>
        <v>0</v>
      </c>
      <c r="C121">
        <f ca="1">SUM($B$2:B121)/A121</f>
        <v>161.1657945649801</v>
      </c>
      <c r="E121">
        <v>119</v>
      </c>
      <c r="F121" s="11">
        <f t="shared" si="7"/>
        <v>0</v>
      </c>
      <c r="G121">
        <f ca="1">SUM($F$2:F121)/E121</f>
        <v>164.03005461773535</v>
      </c>
      <c r="I121">
        <v>119</v>
      </c>
      <c r="J121">
        <f t="shared" si="8"/>
        <v>0</v>
      </c>
      <c r="K121">
        <f ca="1">SUM($J$2:J121)/I121</f>
        <v>161.1657945649801</v>
      </c>
      <c r="M121">
        <v>119</v>
      </c>
      <c r="N121">
        <f t="shared" si="9"/>
        <v>0</v>
      </c>
      <c r="O121">
        <f ca="1">SUM($N$2:N121)/M121</f>
        <v>164.03005461773535</v>
      </c>
    </row>
    <row r="122" spans="1:15" x14ac:dyDescent="0.2">
      <c r="A122">
        <v>120</v>
      </c>
      <c r="B122" s="11">
        <f t="shared" si="6"/>
        <v>0</v>
      </c>
      <c r="C122">
        <f ca="1">SUM($B$2:B122)/A122</f>
        <v>159.8227462769386</v>
      </c>
      <c r="E122">
        <v>120</v>
      </c>
      <c r="F122" s="11">
        <f t="shared" si="7"/>
        <v>0</v>
      </c>
      <c r="G122">
        <f ca="1">SUM($F$2:F122)/E122</f>
        <v>162.66313749592089</v>
      </c>
      <c r="I122">
        <v>120</v>
      </c>
      <c r="J122">
        <f t="shared" si="8"/>
        <v>0</v>
      </c>
      <c r="K122">
        <f ca="1">SUM($J$2:J122)/I122</f>
        <v>159.8227462769386</v>
      </c>
      <c r="M122">
        <v>120</v>
      </c>
      <c r="N122">
        <f t="shared" si="9"/>
        <v>0</v>
      </c>
      <c r="O122">
        <f ca="1">SUM($N$2:N122)/M122</f>
        <v>162.66313749592089</v>
      </c>
    </row>
    <row r="123" spans="1:15" x14ac:dyDescent="0.2">
      <c r="A123">
        <v>121</v>
      </c>
      <c r="B123" s="11">
        <f t="shared" si="6"/>
        <v>0</v>
      </c>
      <c r="C123">
        <f ca="1">SUM($B$2:B123)/A123</f>
        <v>158.50189713415398</v>
      </c>
      <c r="E123">
        <v>121</v>
      </c>
      <c r="F123" s="11">
        <f t="shared" si="7"/>
        <v>0</v>
      </c>
      <c r="G123">
        <f ca="1">SUM($F$2:F123)/E123</f>
        <v>161.31881404554136</v>
      </c>
      <c r="I123">
        <v>121</v>
      </c>
      <c r="J123">
        <f t="shared" si="8"/>
        <v>0</v>
      </c>
      <c r="K123">
        <f ca="1">SUM($J$2:J123)/I123</f>
        <v>158.50189713415398</v>
      </c>
      <c r="M123">
        <v>121</v>
      </c>
      <c r="N123">
        <f t="shared" si="9"/>
        <v>0</v>
      </c>
      <c r="O123">
        <f ca="1">SUM($N$2:N123)/M123</f>
        <v>161.31881404554136</v>
      </c>
    </row>
    <row r="124" spans="1:15" x14ac:dyDescent="0.2">
      <c r="A124">
        <v>122</v>
      </c>
      <c r="B124" s="11">
        <f t="shared" si="6"/>
        <v>0</v>
      </c>
      <c r="C124">
        <f ca="1">SUM($B$2:B124)/A124</f>
        <v>157.20270125600518</v>
      </c>
      <c r="E124">
        <v>122</v>
      </c>
      <c r="F124" s="11">
        <f t="shared" si="7"/>
        <v>0</v>
      </c>
      <c r="G124">
        <f ca="1">SUM($F$2:F124)/E124</f>
        <v>159.99652868451233</v>
      </c>
      <c r="I124">
        <v>122</v>
      </c>
      <c r="J124">
        <f t="shared" si="8"/>
        <v>0</v>
      </c>
      <c r="K124">
        <f ca="1">SUM($J$2:J124)/I124</f>
        <v>157.20270125600518</v>
      </c>
      <c r="M124">
        <v>122</v>
      </c>
      <c r="N124">
        <f t="shared" si="9"/>
        <v>0</v>
      </c>
      <c r="O124">
        <f ca="1">SUM($N$2:N124)/M124</f>
        <v>159.99652868451233</v>
      </c>
    </row>
    <row r="125" spans="1:15" x14ac:dyDescent="0.2">
      <c r="A125">
        <v>123</v>
      </c>
      <c r="B125" s="11">
        <f t="shared" si="6"/>
        <v>0</v>
      </c>
      <c r="C125">
        <f ca="1">SUM($B$2:B125)/A125</f>
        <v>155.92463051408643</v>
      </c>
      <c r="E125">
        <v>123</v>
      </c>
      <c r="F125" s="11">
        <f t="shared" si="7"/>
        <v>0</v>
      </c>
      <c r="G125">
        <f ca="1">SUM($F$2:F125)/E125</f>
        <v>158.6957438984594</v>
      </c>
      <c r="I125">
        <v>123</v>
      </c>
      <c r="J125">
        <f t="shared" si="8"/>
        <v>0</v>
      </c>
      <c r="K125">
        <f ca="1">SUM($J$2:J125)/I125</f>
        <v>155.92463051408643</v>
      </c>
      <c r="M125">
        <v>123</v>
      </c>
      <c r="N125">
        <f t="shared" si="9"/>
        <v>0</v>
      </c>
      <c r="O125">
        <f ca="1">SUM($N$2:N125)/M125</f>
        <v>158.6957438984594</v>
      </c>
    </row>
    <row r="126" spans="1:15" x14ac:dyDescent="0.2">
      <c r="A126">
        <v>124</v>
      </c>
      <c r="B126" s="11">
        <f t="shared" si="6"/>
        <v>0</v>
      </c>
      <c r="C126">
        <f ca="1">SUM($B$2:B126)/A126</f>
        <v>154.66717381639219</v>
      </c>
      <c r="E126">
        <v>124</v>
      </c>
      <c r="F126" s="11">
        <f t="shared" si="7"/>
        <v>0</v>
      </c>
      <c r="G126">
        <f ca="1">SUM($F$2:F126)/E126</f>
        <v>157.4159395121815</v>
      </c>
      <c r="I126">
        <v>124</v>
      </c>
      <c r="J126">
        <f t="shared" si="8"/>
        <v>0</v>
      </c>
      <c r="K126">
        <f ca="1">SUM($J$2:J126)/I126</f>
        <v>154.66717381639219</v>
      </c>
      <c r="M126">
        <v>124</v>
      </c>
      <c r="N126">
        <f t="shared" si="9"/>
        <v>0</v>
      </c>
      <c r="O126">
        <f ca="1">SUM($N$2:N126)/M126</f>
        <v>157.4159395121815</v>
      </c>
    </row>
    <row r="127" spans="1:15" x14ac:dyDescent="0.2">
      <c r="A127">
        <v>125</v>
      </c>
      <c r="B127" s="11">
        <f t="shared" si="6"/>
        <v>0</v>
      </c>
      <c r="C127">
        <f ca="1">SUM($B$2:B127)/A127</f>
        <v>153.42983642586105</v>
      </c>
      <c r="E127">
        <v>125</v>
      </c>
      <c r="F127" s="11">
        <f t="shared" si="7"/>
        <v>0</v>
      </c>
      <c r="G127">
        <f ca="1">SUM($F$2:F127)/E127</f>
        <v>156.15661199608405</v>
      </c>
      <c r="I127">
        <v>125</v>
      </c>
      <c r="J127">
        <f t="shared" si="8"/>
        <v>0</v>
      </c>
      <c r="K127">
        <f ca="1">SUM($J$2:J127)/I127</f>
        <v>153.42983642586105</v>
      </c>
      <c r="M127">
        <v>125</v>
      </c>
      <c r="N127">
        <f t="shared" si="9"/>
        <v>0</v>
      </c>
      <c r="O127">
        <f ca="1">SUM($N$2:N127)/M127</f>
        <v>156.15661199608405</v>
      </c>
    </row>
    <row r="128" spans="1:15" x14ac:dyDescent="0.2">
      <c r="A128">
        <v>126</v>
      </c>
      <c r="B128" s="11">
        <f t="shared" si="6"/>
        <v>0</v>
      </c>
      <c r="C128">
        <f ca="1">SUM($B$2:B128)/A128</f>
        <v>152.21213931137009</v>
      </c>
      <c r="E128">
        <v>126</v>
      </c>
      <c r="F128" s="11">
        <f t="shared" si="7"/>
        <v>0</v>
      </c>
      <c r="G128">
        <f ca="1">SUM($F$2:F128)/E128</f>
        <v>154.91727380563893</v>
      </c>
      <c r="I128">
        <v>126</v>
      </c>
      <c r="J128">
        <f t="shared" si="8"/>
        <v>0</v>
      </c>
      <c r="K128">
        <f ca="1">SUM($J$2:J128)/I128</f>
        <v>152.21213931137009</v>
      </c>
      <c r="M128">
        <v>126</v>
      </c>
      <c r="N128">
        <f t="shared" si="9"/>
        <v>0</v>
      </c>
      <c r="O128">
        <f ca="1">SUM($N$2:N128)/M128</f>
        <v>154.91727380563893</v>
      </c>
    </row>
    <row r="129" spans="1:15" x14ac:dyDescent="0.2">
      <c r="A129">
        <v>127</v>
      </c>
      <c r="B129" s="11">
        <f t="shared" si="6"/>
        <v>0</v>
      </c>
      <c r="C129">
        <f ca="1">SUM($B$2:B129)/A129</f>
        <v>151.01361852939081</v>
      </c>
      <c r="E129">
        <v>127</v>
      </c>
      <c r="F129" s="11">
        <f t="shared" si="7"/>
        <v>0</v>
      </c>
      <c r="G129">
        <f ca="1">SUM($F$2:F129)/E129</f>
        <v>153.69745275205122</v>
      </c>
      <c r="I129">
        <v>127</v>
      </c>
      <c r="J129">
        <f t="shared" si="8"/>
        <v>0</v>
      </c>
      <c r="K129">
        <f ca="1">SUM($J$2:J129)/I129</f>
        <v>151.01361852939081</v>
      </c>
      <c r="M129">
        <v>127</v>
      </c>
      <c r="N129">
        <f t="shared" si="9"/>
        <v>0</v>
      </c>
      <c r="O129">
        <f ca="1">SUM($N$2:N129)/M129</f>
        <v>153.69745275205122</v>
      </c>
    </row>
    <row r="130" spans="1:15" x14ac:dyDescent="0.2">
      <c r="A130">
        <v>128</v>
      </c>
      <c r="B130" s="11">
        <f t="shared" si="6"/>
        <v>0</v>
      </c>
      <c r="C130">
        <f ca="1">SUM($B$2:B130)/A130</f>
        <v>149.83382463462993</v>
      </c>
      <c r="E130">
        <v>128</v>
      </c>
      <c r="F130" s="11">
        <f t="shared" si="7"/>
        <v>0</v>
      </c>
      <c r="G130">
        <f ca="1">SUM($F$2:F130)/E130</f>
        <v>152.49669140242582</v>
      </c>
      <c r="I130">
        <v>128</v>
      </c>
      <c r="J130">
        <f t="shared" si="8"/>
        <v>0</v>
      </c>
      <c r="K130">
        <f ca="1">SUM($J$2:J130)/I130</f>
        <v>149.83382463462993</v>
      </c>
      <c r="M130">
        <v>128</v>
      </c>
      <c r="N130">
        <f t="shared" si="9"/>
        <v>0</v>
      </c>
      <c r="O130">
        <f ca="1">SUM($N$2:N130)/M130</f>
        <v>152.49669140242582</v>
      </c>
    </row>
    <row r="131" spans="1:15" x14ac:dyDescent="0.2">
      <c r="A131">
        <v>129</v>
      </c>
      <c r="B131" s="11">
        <f t="shared" ref="B131:B194" si="10">IF(ARCap-IF((A131-IF(A131/180&gt;1,ROUNDDOWN(A131/180,0)*180,0))/30&lt;=1,IF(200*15*BaseSpeed/60*(YellowConnects+WhiteMHConnects+WhiteOHConnects+HoJConnects+WindfuryConnects+SSConnects+IronfoeConnects)*(A131-180*ROUNDDOWN(A131/180,0))&gt;1200,1200,200*15*BaseSpeed/60*(YellowConnects+WhiteMHConnects+WhiteOHConnects+HoJConnects+WindfuryConnects+SSConnects+IronfoeConnects)*(A131-180*ROUNDDOWN(A131/180,0))),0)&lt;0,ARCap,IF((A131-IF(A131/180&gt;1,ROUNDDOWN(A130/180,0)*180,0))/30&lt;=1,IF(200*15*BaseSpeed/60*(YellowConnects+WhiteMHConnects+WhiteOHConnects+HoJConnects+WindfuryConnects+SSConnects+IronfoeConnects)*(A131-180*ROUNDDOWN(A131/180,0))&gt;1200,1200,200*15*BaseSpeed/60*(YellowConnects+WhiteMHConnects+WhiteOHConnects+HoJConnects+WindfuryConnects+SSConnects+IronfoeConnects)*(A131-180*ROUNDDOWN(A131/180,0))),0))</f>
        <v>0</v>
      </c>
      <c r="C131">
        <f ca="1">SUM($B$2:B131)/A131</f>
        <v>148.67232211808241</v>
      </c>
      <c r="E131">
        <v>129</v>
      </c>
      <c r="F131" s="11">
        <f t="shared" ref="F131:F194" si="11">IF(ARCap-IF((A131-IF(A131/180&gt;1,ROUNDDOWN(A131/180,0)*180,0))/30&lt;=1,IF(200*15*BaseSpeed/60*(YellowConnects20+WhiteMHConnects20+WhiteOHConnects20+HoJConnects20+WindfuryConnects20+SSConnects20+IronfoeConnects20)*(A131-180*ROUNDDOWN(A131/180,0))&gt;1200,1200,200*15*BaseSpeed/60*(YellowConnects20+WhiteMHConnects20+WhiteOHConnects20+HoJConnects20+WindfuryConnects20+SSConnects20+IronfoeConnects20)*(A131-180*ROUNDDOWN(A131/180,0))),0)&lt;0,ARCap,IF((A131-IF(A131/180&gt;1,ROUNDDOWN(A131/180,0)*180,0))/30&lt;=1,IF(200*15*BaseSpeed/60*(YellowConnects20+WhiteMHConnects20+WhiteOHConnects20+HoJConnects20+WindfuryConnects20+SSConnects20+IronfoeConnects20)*(A131-180*ROUNDDOWN(A131/180,0))&gt;1200,1200,200*15*BaseSpeed/60*(YellowConnects20+WhiteMHConnects20+WhiteOHConnects20+HoJConnects20+WindfuryConnects20+SSConnects20+IronfoeConnects20)*(A131-180*ROUNDDOWN(A131/180,0))),0))</f>
        <v>0</v>
      </c>
      <c r="G131">
        <f ca="1">SUM($F$2:F131)/E131</f>
        <v>151.31454650783337</v>
      </c>
      <c r="I131">
        <v>129</v>
      </c>
      <c r="J131">
        <f t="shared" ref="J131:J194" si="12">IF(ARCap-(B131+BRE)&lt;0,ARCap,B131+BRE)</f>
        <v>0</v>
      </c>
      <c r="K131">
        <f ca="1">SUM($J$2:J131)/I131</f>
        <v>148.67232211808241</v>
      </c>
      <c r="M131">
        <v>129</v>
      </c>
      <c r="N131">
        <f t="shared" ref="N131:N194" si="13">IF(ARCap-(F131+BREArmorReduction20)&lt;0,ARCap,F131+BREArmorReduction20)</f>
        <v>0</v>
      </c>
      <c r="O131">
        <f ca="1">SUM($N$2:N131)/M131</f>
        <v>151.31454650783337</v>
      </c>
    </row>
    <row r="132" spans="1:15" x14ac:dyDescent="0.2">
      <c r="A132">
        <v>130</v>
      </c>
      <c r="B132" s="11">
        <f t="shared" si="10"/>
        <v>0</v>
      </c>
      <c r="C132">
        <f ca="1">SUM($B$2:B132)/A132</f>
        <v>147.52868887102025</v>
      </c>
      <c r="E132">
        <v>130</v>
      </c>
      <c r="F132" s="11">
        <f t="shared" si="11"/>
        <v>0</v>
      </c>
      <c r="G132">
        <f ca="1">SUM($F$2:F132)/E132</f>
        <v>150.15058845777313</v>
      </c>
      <c r="I132">
        <v>130</v>
      </c>
      <c r="J132">
        <f t="shared" si="12"/>
        <v>0</v>
      </c>
      <c r="K132">
        <f ca="1">SUM($J$2:J132)/I132</f>
        <v>147.52868887102025</v>
      </c>
      <c r="M132">
        <v>130</v>
      </c>
      <c r="N132">
        <f t="shared" si="13"/>
        <v>0</v>
      </c>
      <c r="O132">
        <f ca="1">SUM($N$2:N132)/M132</f>
        <v>150.15058845777313</v>
      </c>
    </row>
    <row r="133" spans="1:15" x14ac:dyDescent="0.2">
      <c r="A133">
        <v>131</v>
      </c>
      <c r="B133" s="11">
        <f t="shared" si="10"/>
        <v>0</v>
      </c>
      <c r="C133">
        <f ca="1">SUM($B$2:B133)/A133</f>
        <v>146.40251567353152</v>
      </c>
      <c r="E133">
        <v>131</v>
      </c>
      <c r="F133" s="11">
        <f t="shared" si="11"/>
        <v>0</v>
      </c>
      <c r="G133">
        <f ca="1">SUM($F$2:F133)/E133</f>
        <v>149.00440075962217</v>
      </c>
      <c r="I133">
        <v>131</v>
      </c>
      <c r="J133">
        <f t="shared" si="12"/>
        <v>0</v>
      </c>
      <c r="K133">
        <f ca="1">SUM($J$2:J133)/I133</f>
        <v>146.40251567353152</v>
      </c>
      <c r="M133">
        <v>131</v>
      </c>
      <c r="N133">
        <f t="shared" si="13"/>
        <v>0</v>
      </c>
      <c r="O133">
        <f ca="1">SUM($N$2:N133)/M133</f>
        <v>149.00440075962217</v>
      </c>
    </row>
    <row r="134" spans="1:15" x14ac:dyDescent="0.2">
      <c r="A134">
        <v>132</v>
      </c>
      <c r="B134" s="11">
        <f t="shared" si="10"/>
        <v>0</v>
      </c>
      <c r="C134">
        <f ca="1">SUM($B$2:B134)/A134</f>
        <v>145.29340570630782</v>
      </c>
      <c r="E134">
        <v>132</v>
      </c>
      <c r="F134" s="11">
        <f t="shared" si="11"/>
        <v>0</v>
      </c>
      <c r="G134">
        <f ca="1">SUM($F$2:F134)/E134</f>
        <v>147.87557954174625</v>
      </c>
      <c r="I134">
        <v>132</v>
      </c>
      <c r="J134">
        <f t="shared" si="12"/>
        <v>0</v>
      </c>
      <c r="K134">
        <f ca="1">SUM($J$2:J134)/I134</f>
        <v>145.29340570630782</v>
      </c>
      <c r="M134">
        <v>132</v>
      </c>
      <c r="N134">
        <f t="shared" si="13"/>
        <v>0</v>
      </c>
      <c r="O134">
        <f ca="1">SUM($N$2:N134)/M134</f>
        <v>147.87557954174625</v>
      </c>
    </row>
    <row r="135" spans="1:15" x14ac:dyDescent="0.2">
      <c r="A135">
        <v>133</v>
      </c>
      <c r="B135" s="11">
        <f t="shared" si="10"/>
        <v>0</v>
      </c>
      <c r="C135">
        <f ca="1">SUM($B$2:B135)/A135</f>
        <v>144.20097408445588</v>
      </c>
      <c r="E135">
        <v>133</v>
      </c>
      <c r="F135" s="11">
        <f t="shared" si="11"/>
        <v>0</v>
      </c>
      <c r="G135">
        <f ca="1">SUM($F$2:F135)/E135</f>
        <v>146.76373307902637</v>
      </c>
      <c r="I135">
        <v>133</v>
      </c>
      <c r="J135">
        <f t="shared" si="12"/>
        <v>0</v>
      </c>
      <c r="K135">
        <f ca="1">SUM($J$2:J135)/I135</f>
        <v>144.20097408445588</v>
      </c>
      <c r="M135">
        <v>133</v>
      </c>
      <c r="N135">
        <f t="shared" si="13"/>
        <v>0</v>
      </c>
      <c r="O135">
        <f ca="1">SUM($N$2:N135)/M135</f>
        <v>146.76373307902637</v>
      </c>
    </row>
    <row r="136" spans="1:15" x14ac:dyDescent="0.2">
      <c r="A136">
        <v>134</v>
      </c>
      <c r="B136" s="11">
        <f t="shared" si="10"/>
        <v>0</v>
      </c>
      <c r="C136">
        <f ca="1">SUM($B$2:B136)/A136</f>
        <v>143.12484741218381</v>
      </c>
      <c r="E136">
        <v>134</v>
      </c>
      <c r="F136" s="11">
        <f t="shared" si="11"/>
        <v>0</v>
      </c>
      <c r="G136">
        <f ca="1">SUM($F$2:F136)/E136</f>
        <v>145.66848133963063</v>
      </c>
      <c r="I136">
        <v>134</v>
      </c>
      <c r="J136">
        <f t="shared" si="12"/>
        <v>0</v>
      </c>
      <c r="K136">
        <f ca="1">SUM($J$2:J136)/I136</f>
        <v>143.12484741218381</v>
      </c>
      <c r="M136">
        <v>134</v>
      </c>
      <c r="N136">
        <f t="shared" si="13"/>
        <v>0</v>
      </c>
      <c r="O136">
        <f ca="1">SUM($N$2:N136)/M136</f>
        <v>145.66848133963063</v>
      </c>
    </row>
    <row r="137" spans="1:15" x14ac:dyDescent="0.2">
      <c r="A137">
        <v>135</v>
      </c>
      <c r="B137" s="11">
        <f t="shared" si="10"/>
        <v>0</v>
      </c>
      <c r="C137">
        <f ca="1">SUM($B$2:B137)/A137</f>
        <v>142.06466335727876</v>
      </c>
      <c r="E137">
        <v>135</v>
      </c>
      <c r="F137" s="11">
        <f t="shared" si="11"/>
        <v>0</v>
      </c>
      <c r="G137">
        <f ca="1">SUM($F$2:F137)/E137</f>
        <v>144.58945555192966</v>
      </c>
      <c r="I137">
        <v>135</v>
      </c>
      <c r="J137">
        <f t="shared" si="12"/>
        <v>0</v>
      </c>
      <c r="K137">
        <f ca="1">SUM($J$2:J137)/I137</f>
        <v>142.06466335727876</v>
      </c>
      <c r="M137">
        <v>135</v>
      </c>
      <c r="N137">
        <f t="shared" si="13"/>
        <v>0</v>
      </c>
      <c r="O137">
        <f ca="1">SUM($N$2:N137)/M137</f>
        <v>144.58945555192966</v>
      </c>
    </row>
    <row r="138" spans="1:15" x14ac:dyDescent="0.2">
      <c r="A138">
        <v>136</v>
      </c>
      <c r="B138" s="11">
        <f t="shared" si="10"/>
        <v>0</v>
      </c>
      <c r="C138">
        <f ca="1">SUM($B$2:B138)/A138</f>
        <v>141.02007024435758</v>
      </c>
      <c r="E138">
        <v>136</v>
      </c>
      <c r="F138" s="11">
        <f t="shared" si="11"/>
        <v>0</v>
      </c>
      <c r="G138">
        <f ca="1">SUM($F$2:F138)/E138</f>
        <v>143.52629779051841</v>
      </c>
      <c r="I138">
        <v>136</v>
      </c>
      <c r="J138">
        <f t="shared" si="12"/>
        <v>0</v>
      </c>
      <c r="K138">
        <f ca="1">SUM($J$2:J138)/I138</f>
        <v>141.02007024435758</v>
      </c>
      <c r="M138">
        <v>136</v>
      </c>
      <c r="N138">
        <f t="shared" si="13"/>
        <v>0</v>
      </c>
      <c r="O138">
        <f ca="1">SUM($N$2:N138)/M138</f>
        <v>143.52629779051841</v>
      </c>
    </row>
    <row r="139" spans="1:15" x14ac:dyDescent="0.2">
      <c r="A139">
        <v>137</v>
      </c>
      <c r="B139" s="11">
        <f t="shared" si="10"/>
        <v>0</v>
      </c>
      <c r="C139">
        <f ca="1">SUM($B$2:B139)/A139</f>
        <v>139.99072666593162</v>
      </c>
      <c r="E139">
        <v>137</v>
      </c>
      <c r="F139" s="11">
        <f t="shared" si="11"/>
        <v>0</v>
      </c>
      <c r="G139">
        <f ca="1">SUM($F$2:F139)/E139</f>
        <v>142.47866058036865</v>
      </c>
      <c r="I139">
        <v>137</v>
      </c>
      <c r="J139">
        <f t="shared" si="12"/>
        <v>0</v>
      </c>
      <c r="K139">
        <f ca="1">SUM($J$2:J139)/I139</f>
        <v>139.99072666593162</v>
      </c>
      <c r="M139">
        <v>137</v>
      </c>
      <c r="N139">
        <f t="shared" si="13"/>
        <v>0</v>
      </c>
      <c r="O139">
        <f ca="1">SUM($N$2:N139)/M139</f>
        <v>142.47866058036865</v>
      </c>
    </row>
    <row r="140" spans="1:15" x14ac:dyDescent="0.2">
      <c r="A140">
        <v>138</v>
      </c>
      <c r="B140" s="11">
        <f t="shared" si="10"/>
        <v>0</v>
      </c>
      <c r="C140">
        <f ca="1">SUM($B$2:B140)/A140</f>
        <v>138.9763011103814</v>
      </c>
      <c r="E140">
        <v>138</v>
      </c>
      <c r="F140" s="11">
        <f t="shared" si="11"/>
        <v>0</v>
      </c>
      <c r="G140">
        <f ca="1">SUM($F$2:F140)/E140</f>
        <v>141.44620651819207</v>
      </c>
      <c r="I140">
        <v>138</v>
      </c>
      <c r="J140">
        <f t="shared" si="12"/>
        <v>0</v>
      </c>
      <c r="K140">
        <f ca="1">SUM($J$2:J140)/I140</f>
        <v>138.9763011103814</v>
      </c>
      <c r="M140">
        <v>138</v>
      </c>
      <c r="N140">
        <f t="shared" si="13"/>
        <v>0</v>
      </c>
      <c r="O140">
        <f ca="1">SUM($N$2:N140)/M140</f>
        <v>141.44620651819207</v>
      </c>
    </row>
    <row r="141" spans="1:15" x14ac:dyDescent="0.2">
      <c r="A141">
        <v>139</v>
      </c>
      <c r="B141" s="11">
        <f t="shared" si="10"/>
        <v>0</v>
      </c>
      <c r="C141">
        <f ca="1">SUM($B$2:B141)/A141</f>
        <v>137.97647160599016</v>
      </c>
      <c r="E141">
        <v>139</v>
      </c>
      <c r="F141" s="11">
        <f t="shared" si="11"/>
        <v>0</v>
      </c>
      <c r="G141">
        <f ca="1">SUM($F$2:F141)/E141</f>
        <v>140.42860791014752</v>
      </c>
      <c r="I141">
        <v>139</v>
      </c>
      <c r="J141">
        <f t="shared" si="12"/>
        <v>0</v>
      </c>
      <c r="K141">
        <f ca="1">SUM($J$2:J141)/I141</f>
        <v>137.97647160599016</v>
      </c>
      <c r="M141">
        <v>139</v>
      </c>
      <c r="N141">
        <f t="shared" si="13"/>
        <v>0</v>
      </c>
      <c r="O141">
        <f ca="1">SUM($N$2:N141)/M141</f>
        <v>140.42860791014752</v>
      </c>
    </row>
    <row r="142" spans="1:15" x14ac:dyDescent="0.2">
      <c r="A142">
        <v>140</v>
      </c>
      <c r="B142" s="11">
        <f t="shared" si="10"/>
        <v>0</v>
      </c>
      <c r="C142">
        <f ca="1">SUM($B$2:B142)/A142</f>
        <v>136.99092538023308</v>
      </c>
      <c r="E142">
        <v>140</v>
      </c>
      <c r="F142" s="11">
        <f t="shared" si="11"/>
        <v>0</v>
      </c>
      <c r="G142">
        <f ca="1">SUM($F$2:F142)/E142</f>
        <v>139.42554642507503</v>
      </c>
      <c r="I142">
        <v>140</v>
      </c>
      <c r="J142">
        <f t="shared" si="12"/>
        <v>0</v>
      </c>
      <c r="K142">
        <f ca="1">SUM($J$2:J142)/I142</f>
        <v>136.99092538023308</v>
      </c>
      <c r="M142">
        <v>140</v>
      </c>
      <c r="N142">
        <f t="shared" si="13"/>
        <v>0</v>
      </c>
      <c r="O142">
        <f ca="1">SUM($N$2:N142)/M142</f>
        <v>139.42554642507503</v>
      </c>
    </row>
    <row r="143" spans="1:15" x14ac:dyDescent="0.2">
      <c r="A143">
        <v>141</v>
      </c>
      <c r="B143" s="11">
        <f t="shared" si="10"/>
        <v>0</v>
      </c>
      <c r="C143">
        <f ca="1">SUM($B$2:B143)/A143</f>
        <v>136.01935853356477</v>
      </c>
      <c r="E143">
        <v>141</v>
      </c>
      <c r="F143" s="11">
        <f t="shared" si="11"/>
        <v>0</v>
      </c>
      <c r="G143">
        <f ca="1">SUM($F$2:F143)/E143</f>
        <v>138.43671276248585</v>
      </c>
      <c r="I143">
        <v>141</v>
      </c>
      <c r="J143">
        <f t="shared" si="12"/>
        <v>0</v>
      </c>
      <c r="K143">
        <f ca="1">SUM($J$2:J143)/I143</f>
        <v>136.01935853356477</v>
      </c>
      <c r="M143">
        <v>141</v>
      </c>
      <c r="N143">
        <f t="shared" si="13"/>
        <v>0</v>
      </c>
      <c r="O143">
        <f ca="1">SUM($N$2:N143)/M143</f>
        <v>138.43671276248585</v>
      </c>
    </row>
    <row r="144" spans="1:15" x14ac:dyDescent="0.2">
      <c r="A144">
        <v>142</v>
      </c>
      <c r="B144" s="11">
        <f t="shared" si="10"/>
        <v>0</v>
      </c>
      <c r="C144">
        <f ca="1">SUM($B$2:B144)/A144</f>
        <v>135.06147572699035</v>
      </c>
      <c r="E144">
        <v>142</v>
      </c>
      <c r="F144" s="11">
        <f t="shared" si="11"/>
        <v>0</v>
      </c>
      <c r="G144">
        <f ca="1">SUM($F$2:F144)/E144</f>
        <v>137.46180633458101</v>
      </c>
      <c r="I144">
        <v>142</v>
      </c>
      <c r="J144">
        <f t="shared" si="12"/>
        <v>0</v>
      </c>
      <c r="K144">
        <f ca="1">SUM($J$2:J144)/I144</f>
        <v>135.06147572699035</v>
      </c>
      <c r="M144">
        <v>142</v>
      </c>
      <c r="N144">
        <f t="shared" si="13"/>
        <v>0</v>
      </c>
      <c r="O144">
        <f ca="1">SUM($N$2:N144)/M144</f>
        <v>137.46180633458101</v>
      </c>
    </row>
    <row r="145" spans="1:15" x14ac:dyDescent="0.2">
      <c r="A145">
        <v>143</v>
      </c>
      <c r="B145" s="11">
        <f t="shared" si="10"/>
        <v>0</v>
      </c>
      <c r="C145">
        <f ca="1">SUM($B$2:B145)/A145</f>
        <v>134.11698988274568</v>
      </c>
      <c r="E145">
        <v>143</v>
      </c>
      <c r="F145" s="11">
        <f t="shared" si="11"/>
        <v>0</v>
      </c>
      <c r="G145">
        <f ca="1">SUM($F$2:F145)/E145</f>
        <v>136.50053496161192</v>
      </c>
      <c r="I145">
        <v>143</v>
      </c>
      <c r="J145">
        <f t="shared" si="12"/>
        <v>0</v>
      </c>
      <c r="K145">
        <f ca="1">SUM($J$2:J145)/I145</f>
        <v>134.11698988274568</v>
      </c>
      <c r="M145">
        <v>143</v>
      </c>
      <c r="N145">
        <f t="shared" si="13"/>
        <v>0</v>
      </c>
      <c r="O145">
        <f ca="1">SUM($N$2:N145)/M145</f>
        <v>136.50053496161192</v>
      </c>
    </row>
    <row r="146" spans="1:15" x14ac:dyDescent="0.2">
      <c r="A146">
        <v>144</v>
      </c>
      <c r="B146" s="11">
        <f t="shared" si="10"/>
        <v>0</v>
      </c>
      <c r="C146">
        <f ca="1">SUM($B$2:B146)/A146</f>
        <v>133.18562189744884</v>
      </c>
      <c r="E146">
        <v>144</v>
      </c>
      <c r="F146" s="11">
        <f t="shared" si="11"/>
        <v>0</v>
      </c>
      <c r="G146">
        <f ca="1">SUM($F$2:F146)/E146</f>
        <v>135.55261457993407</v>
      </c>
      <c r="I146">
        <v>144</v>
      </c>
      <c r="J146">
        <f t="shared" si="12"/>
        <v>0</v>
      </c>
      <c r="K146">
        <f ca="1">SUM($J$2:J146)/I146</f>
        <v>133.18562189744884</v>
      </c>
      <c r="M146">
        <v>144</v>
      </c>
      <c r="N146">
        <f t="shared" si="13"/>
        <v>0</v>
      </c>
      <c r="O146">
        <f ca="1">SUM($N$2:N146)/M146</f>
        <v>135.55261457993407</v>
      </c>
    </row>
    <row r="147" spans="1:15" x14ac:dyDescent="0.2">
      <c r="A147">
        <v>145</v>
      </c>
      <c r="B147" s="11">
        <f t="shared" si="10"/>
        <v>0</v>
      </c>
      <c r="C147">
        <f ca="1">SUM($B$2:B147)/A147</f>
        <v>132.2671003671216</v>
      </c>
      <c r="E147">
        <v>145</v>
      </c>
      <c r="F147" s="11">
        <f t="shared" si="11"/>
        <v>0</v>
      </c>
      <c r="G147">
        <f ca="1">SUM($F$2:F147)/E147</f>
        <v>134.61776896214141</v>
      </c>
      <c r="I147">
        <v>145</v>
      </c>
      <c r="J147">
        <f t="shared" si="12"/>
        <v>0</v>
      </c>
      <c r="K147">
        <f ca="1">SUM($J$2:J147)/I147</f>
        <v>132.2671003671216</v>
      </c>
      <c r="M147">
        <v>145</v>
      </c>
      <c r="N147">
        <f t="shared" si="13"/>
        <v>0</v>
      </c>
      <c r="O147">
        <f ca="1">SUM($N$2:N147)/M147</f>
        <v>134.61776896214141</v>
      </c>
    </row>
    <row r="148" spans="1:15" x14ac:dyDescent="0.2">
      <c r="A148">
        <v>146</v>
      </c>
      <c r="B148" s="11">
        <f t="shared" si="10"/>
        <v>0</v>
      </c>
      <c r="C148">
        <f ca="1">SUM($B$2:B148)/A148</f>
        <v>131.36116132351117</v>
      </c>
      <c r="E148">
        <v>146</v>
      </c>
      <c r="F148" s="11">
        <f t="shared" si="11"/>
        <v>0</v>
      </c>
      <c r="G148">
        <f ca="1">SUM($F$2:F148)/E148</f>
        <v>133.69572944870208</v>
      </c>
      <c r="I148">
        <v>146</v>
      </c>
      <c r="J148">
        <f t="shared" si="12"/>
        <v>0</v>
      </c>
      <c r="K148">
        <f ca="1">SUM($J$2:J148)/I148</f>
        <v>131.36116132351117</v>
      </c>
      <c r="M148">
        <v>146</v>
      </c>
      <c r="N148">
        <f t="shared" si="13"/>
        <v>0</v>
      </c>
      <c r="O148">
        <f ca="1">SUM($N$2:N148)/M148</f>
        <v>133.69572944870208</v>
      </c>
    </row>
    <row r="149" spans="1:15" x14ac:dyDescent="0.2">
      <c r="A149">
        <v>147</v>
      </c>
      <c r="B149" s="11">
        <f t="shared" si="10"/>
        <v>0</v>
      </c>
      <c r="C149">
        <f ca="1">SUM($B$2:B149)/A149</f>
        <v>130.46754798117436</v>
      </c>
      <c r="E149">
        <v>147</v>
      </c>
      <c r="F149" s="11">
        <f t="shared" si="11"/>
        <v>0</v>
      </c>
      <c r="G149">
        <f ca="1">SUM($F$2:F149)/E149</f>
        <v>132.78623469054764</v>
      </c>
      <c r="I149">
        <v>147</v>
      </c>
      <c r="J149">
        <f t="shared" si="12"/>
        <v>0</v>
      </c>
      <c r="K149">
        <f ca="1">SUM($J$2:J149)/I149</f>
        <v>130.46754798117436</v>
      </c>
      <c r="M149">
        <v>147</v>
      </c>
      <c r="N149">
        <f t="shared" si="13"/>
        <v>0</v>
      </c>
      <c r="O149">
        <f ca="1">SUM($N$2:N149)/M149</f>
        <v>132.78623469054764</v>
      </c>
    </row>
    <row r="150" spans="1:15" x14ac:dyDescent="0.2">
      <c r="A150">
        <v>148</v>
      </c>
      <c r="B150" s="11">
        <f t="shared" si="10"/>
        <v>0</v>
      </c>
      <c r="C150">
        <f ca="1">SUM($B$2:B150)/A150</f>
        <v>129.58601049481507</v>
      </c>
      <c r="E150">
        <v>148</v>
      </c>
      <c r="F150" s="11">
        <f t="shared" si="11"/>
        <v>0</v>
      </c>
      <c r="G150">
        <f ca="1">SUM($F$2:F150)/E150</f>
        <v>131.889030402098</v>
      </c>
      <c r="I150">
        <v>148</v>
      </c>
      <c r="J150">
        <f t="shared" si="12"/>
        <v>0</v>
      </c>
      <c r="K150">
        <f ca="1">SUM($J$2:J150)/I150</f>
        <v>129.58601049481507</v>
      </c>
      <c r="M150">
        <v>148</v>
      </c>
      <c r="N150">
        <f t="shared" si="13"/>
        <v>0</v>
      </c>
      <c r="O150">
        <f ca="1">SUM($N$2:N150)/M150</f>
        <v>131.889030402098</v>
      </c>
    </row>
    <row r="151" spans="1:15" x14ac:dyDescent="0.2">
      <c r="A151">
        <v>149</v>
      </c>
      <c r="B151" s="11">
        <f t="shared" si="10"/>
        <v>0</v>
      </c>
      <c r="C151">
        <f ca="1">SUM($B$2:B151)/A151</f>
        <v>128.7163057263935</v>
      </c>
      <c r="E151">
        <v>149</v>
      </c>
      <c r="F151" s="11">
        <f t="shared" si="11"/>
        <v>0</v>
      </c>
      <c r="G151">
        <f ca="1">SUM($F$2:F151)/E151</f>
        <v>131.00386912423158</v>
      </c>
      <c r="I151">
        <v>149</v>
      </c>
      <c r="J151">
        <f t="shared" si="12"/>
        <v>0</v>
      </c>
      <c r="K151">
        <f ca="1">SUM($J$2:J151)/I151</f>
        <v>128.7163057263935</v>
      </c>
      <c r="M151">
        <v>149</v>
      </c>
      <c r="N151">
        <f t="shared" si="13"/>
        <v>0</v>
      </c>
      <c r="O151">
        <f ca="1">SUM($N$2:N151)/M151</f>
        <v>131.00386912423158</v>
      </c>
    </row>
    <row r="152" spans="1:15" x14ac:dyDescent="0.2">
      <c r="A152">
        <v>150</v>
      </c>
      <c r="B152" s="11">
        <f t="shared" si="10"/>
        <v>0</v>
      </c>
      <c r="C152">
        <f ca="1">SUM($B$2:B152)/A152</f>
        <v>127.85819702155088</v>
      </c>
      <c r="E152">
        <v>150</v>
      </c>
      <c r="F152" s="11">
        <f t="shared" si="11"/>
        <v>0</v>
      </c>
      <c r="G152">
        <f ca="1">SUM($F$2:F152)/E152</f>
        <v>130.13050999673669</v>
      </c>
      <c r="I152">
        <v>150</v>
      </c>
      <c r="J152">
        <f t="shared" si="12"/>
        <v>0</v>
      </c>
      <c r="K152">
        <f ca="1">SUM($J$2:J152)/I152</f>
        <v>127.85819702155088</v>
      </c>
      <c r="M152">
        <v>150</v>
      </c>
      <c r="N152">
        <f t="shared" si="13"/>
        <v>0</v>
      </c>
      <c r="O152">
        <f ca="1">SUM($N$2:N152)/M152</f>
        <v>130.13050999673669</v>
      </c>
    </row>
    <row r="153" spans="1:15" x14ac:dyDescent="0.2">
      <c r="A153">
        <v>151</v>
      </c>
      <c r="B153" s="11">
        <f t="shared" si="10"/>
        <v>0</v>
      </c>
      <c r="C153">
        <f ca="1">SUM($B$2:B153)/A153</f>
        <v>127.01145399491809</v>
      </c>
      <c r="E153">
        <v>151</v>
      </c>
      <c r="F153" s="11">
        <f t="shared" si="11"/>
        <v>0</v>
      </c>
      <c r="G153">
        <f ca="1">SUM($F$2:F153)/E153</f>
        <v>129.26871853980467</v>
      </c>
      <c r="I153">
        <v>151</v>
      </c>
      <c r="J153">
        <f t="shared" si="12"/>
        <v>0</v>
      </c>
      <c r="K153">
        <f ca="1">SUM($J$2:J153)/I153</f>
        <v>127.01145399491809</v>
      </c>
      <c r="M153">
        <v>151</v>
      </c>
      <c r="N153">
        <f t="shared" si="13"/>
        <v>0</v>
      </c>
      <c r="O153">
        <f ca="1">SUM($N$2:N153)/M153</f>
        <v>129.26871853980467</v>
      </c>
    </row>
    <row r="154" spans="1:15" x14ac:dyDescent="0.2">
      <c r="A154">
        <v>152</v>
      </c>
      <c r="B154" s="11">
        <f t="shared" si="10"/>
        <v>0</v>
      </c>
      <c r="C154">
        <f ca="1">SUM($B$2:B154)/A154</f>
        <v>126.17585232389889</v>
      </c>
      <c r="E154">
        <v>152</v>
      </c>
      <c r="F154" s="11">
        <f t="shared" si="11"/>
        <v>0</v>
      </c>
      <c r="G154">
        <f ca="1">SUM($F$2:F154)/E154</f>
        <v>128.41826644414806</v>
      </c>
      <c r="I154">
        <v>152</v>
      </c>
      <c r="J154">
        <f t="shared" si="12"/>
        <v>0</v>
      </c>
      <c r="K154">
        <f ca="1">SUM($J$2:J154)/I154</f>
        <v>126.17585232389889</v>
      </c>
      <c r="M154">
        <v>152</v>
      </c>
      <c r="N154">
        <f t="shared" si="13"/>
        <v>0</v>
      </c>
      <c r="O154">
        <f ca="1">SUM($N$2:N154)/M154</f>
        <v>128.41826644414806</v>
      </c>
    </row>
    <row r="155" spans="1:15" x14ac:dyDescent="0.2">
      <c r="A155">
        <v>153</v>
      </c>
      <c r="B155" s="11">
        <f t="shared" si="10"/>
        <v>0</v>
      </c>
      <c r="C155">
        <f ca="1">SUM($B$2:B155)/A155</f>
        <v>125.35117355054008</v>
      </c>
      <c r="E155">
        <v>153</v>
      </c>
      <c r="F155" s="11">
        <f t="shared" si="11"/>
        <v>0</v>
      </c>
      <c r="G155">
        <f ca="1">SUM($F$2:F155)/E155</f>
        <v>127.5789313693497</v>
      </c>
      <c r="I155">
        <v>153</v>
      </c>
      <c r="J155">
        <f t="shared" si="12"/>
        <v>0</v>
      </c>
      <c r="K155">
        <f ca="1">SUM($J$2:J155)/I155</f>
        <v>125.35117355054008</v>
      </c>
      <c r="M155">
        <v>153</v>
      </c>
      <c r="N155">
        <f t="shared" si="13"/>
        <v>0</v>
      </c>
      <c r="O155">
        <f ca="1">SUM($N$2:N155)/M155</f>
        <v>127.5789313693497</v>
      </c>
    </row>
    <row r="156" spans="1:15" x14ac:dyDescent="0.2">
      <c r="A156">
        <v>154</v>
      </c>
      <c r="B156" s="11">
        <f t="shared" si="10"/>
        <v>0</v>
      </c>
      <c r="C156">
        <f ca="1">SUM($B$2:B156)/A156</f>
        <v>124.53720489112098</v>
      </c>
      <c r="E156">
        <v>154</v>
      </c>
      <c r="F156" s="11">
        <f t="shared" si="11"/>
        <v>0</v>
      </c>
      <c r="G156">
        <f ca="1">SUM($F$2:F156)/E156</f>
        <v>126.75049675006822</v>
      </c>
      <c r="I156">
        <v>154</v>
      </c>
      <c r="J156">
        <f t="shared" si="12"/>
        <v>0</v>
      </c>
      <c r="K156">
        <f ca="1">SUM($J$2:J156)/I156</f>
        <v>124.53720489112098</v>
      </c>
      <c r="M156">
        <v>154</v>
      </c>
      <c r="N156">
        <f t="shared" si="13"/>
        <v>0</v>
      </c>
      <c r="O156">
        <f ca="1">SUM($N$2:N156)/M156</f>
        <v>126.75049675006822</v>
      </c>
    </row>
    <row r="157" spans="1:15" x14ac:dyDescent="0.2">
      <c r="A157">
        <v>155</v>
      </c>
      <c r="B157" s="11">
        <f t="shared" si="10"/>
        <v>0</v>
      </c>
      <c r="C157">
        <f ca="1">SUM($B$2:B157)/A157</f>
        <v>123.73373905311375</v>
      </c>
      <c r="E157">
        <v>155</v>
      </c>
      <c r="F157" s="11">
        <f t="shared" si="11"/>
        <v>0</v>
      </c>
      <c r="G157">
        <f ca="1">SUM($F$2:F157)/E157</f>
        <v>125.9327516097452</v>
      </c>
      <c r="I157">
        <v>155</v>
      </c>
      <c r="J157">
        <f t="shared" si="12"/>
        <v>0</v>
      </c>
      <c r="K157">
        <f ca="1">SUM($J$2:J157)/I157</f>
        <v>123.73373905311375</v>
      </c>
      <c r="M157">
        <v>155</v>
      </c>
      <c r="N157">
        <f t="shared" si="13"/>
        <v>0</v>
      </c>
      <c r="O157">
        <f ca="1">SUM($N$2:N157)/M157</f>
        <v>125.9327516097452</v>
      </c>
    </row>
    <row r="158" spans="1:15" x14ac:dyDescent="0.2">
      <c r="A158">
        <v>156</v>
      </c>
      <c r="B158" s="11">
        <f t="shared" si="10"/>
        <v>0</v>
      </c>
      <c r="C158">
        <f ca="1">SUM($B$2:B158)/A158</f>
        <v>122.94057405918353</v>
      </c>
      <c r="E158">
        <v>156</v>
      </c>
      <c r="F158" s="11">
        <f t="shared" si="11"/>
        <v>0</v>
      </c>
      <c r="G158">
        <f ca="1">SUM($F$2:F158)/E158</f>
        <v>125.1254903814776</v>
      </c>
      <c r="I158">
        <v>156</v>
      </c>
      <c r="J158">
        <f t="shared" si="12"/>
        <v>0</v>
      </c>
      <c r="K158">
        <f ca="1">SUM($J$2:J158)/I158</f>
        <v>122.94057405918353</v>
      </c>
      <c r="M158">
        <v>156</v>
      </c>
      <c r="N158">
        <f t="shared" si="13"/>
        <v>0</v>
      </c>
      <c r="O158">
        <f ca="1">SUM($N$2:N158)/M158</f>
        <v>125.1254903814776</v>
      </c>
    </row>
    <row r="159" spans="1:15" x14ac:dyDescent="0.2">
      <c r="A159">
        <v>157</v>
      </c>
      <c r="B159" s="11">
        <f t="shared" si="10"/>
        <v>0</v>
      </c>
      <c r="C159">
        <f ca="1">SUM($B$2:B159)/A159</f>
        <v>122.15751307791486</v>
      </c>
      <c r="E159">
        <v>157</v>
      </c>
      <c r="F159" s="11">
        <f t="shared" si="11"/>
        <v>0</v>
      </c>
      <c r="G159">
        <f ca="1">SUM($F$2:F159)/E159</f>
        <v>124.3285127357357</v>
      </c>
      <c r="I159">
        <v>157</v>
      </c>
      <c r="J159">
        <f t="shared" si="12"/>
        <v>0</v>
      </c>
      <c r="K159">
        <f ca="1">SUM($J$2:J159)/I159</f>
        <v>122.15751307791486</v>
      </c>
      <c r="M159">
        <v>157</v>
      </c>
      <c r="N159">
        <f t="shared" si="13"/>
        <v>0</v>
      </c>
      <c r="O159">
        <f ca="1">SUM($N$2:N159)/M159</f>
        <v>124.3285127357357</v>
      </c>
    </row>
    <row r="160" spans="1:15" x14ac:dyDescent="0.2">
      <c r="A160">
        <v>158</v>
      </c>
      <c r="B160" s="11">
        <f t="shared" si="10"/>
        <v>0</v>
      </c>
      <c r="C160">
        <f ca="1">SUM($B$2:B160)/A160</f>
        <v>121.38436426096602</v>
      </c>
      <c r="E160">
        <v>158</v>
      </c>
      <c r="F160" s="11">
        <f t="shared" si="11"/>
        <v>0</v>
      </c>
      <c r="G160">
        <f ca="1">SUM($F$2:F160)/E160</f>
        <v>123.54162341462346</v>
      </c>
      <c r="I160">
        <v>158</v>
      </c>
      <c r="J160">
        <f t="shared" si="12"/>
        <v>0</v>
      </c>
      <c r="K160">
        <f ca="1">SUM($J$2:J160)/I160</f>
        <v>121.38436426096602</v>
      </c>
      <c r="M160">
        <v>158</v>
      </c>
      <c r="N160">
        <f t="shared" si="13"/>
        <v>0</v>
      </c>
      <c r="O160">
        <f ca="1">SUM($N$2:N160)/M160</f>
        <v>123.54162341462346</v>
      </c>
    </row>
    <row r="161" spans="1:15" x14ac:dyDescent="0.2">
      <c r="A161">
        <v>159</v>
      </c>
      <c r="B161" s="11">
        <f t="shared" si="10"/>
        <v>0</v>
      </c>
      <c r="C161">
        <f ca="1">SUM($B$2:B161)/A161</f>
        <v>120.62094058636875</v>
      </c>
      <c r="E161">
        <v>159</v>
      </c>
      <c r="F161" s="11">
        <f t="shared" si="11"/>
        <v>0</v>
      </c>
      <c r="G161">
        <f ca="1">SUM($F$2:F161)/E161</f>
        <v>122.76463207239311</v>
      </c>
      <c r="I161">
        <v>159</v>
      </c>
      <c r="J161">
        <f t="shared" si="12"/>
        <v>0</v>
      </c>
      <c r="K161">
        <f ca="1">SUM($J$2:J161)/I161</f>
        <v>120.62094058636875</v>
      </c>
      <c r="M161">
        <v>159</v>
      </c>
      <c r="N161">
        <f t="shared" si="13"/>
        <v>0</v>
      </c>
      <c r="O161">
        <f ca="1">SUM($N$2:N161)/M161</f>
        <v>122.76463207239311</v>
      </c>
    </row>
    <row r="162" spans="1:15" x14ac:dyDescent="0.2">
      <c r="A162">
        <v>160</v>
      </c>
      <c r="B162" s="11">
        <f t="shared" si="10"/>
        <v>0</v>
      </c>
      <c r="C162">
        <f ca="1">SUM($B$2:B162)/A162</f>
        <v>119.86705970770394</v>
      </c>
      <c r="E162">
        <v>160</v>
      </c>
      <c r="F162" s="11">
        <f t="shared" si="11"/>
        <v>0</v>
      </c>
      <c r="G162">
        <f ca="1">SUM($F$2:F162)/E162</f>
        <v>121.99735312194066</v>
      </c>
      <c r="I162">
        <v>160</v>
      </c>
      <c r="J162">
        <f t="shared" si="12"/>
        <v>0</v>
      </c>
      <c r="K162">
        <f ca="1">SUM($J$2:J162)/I162</f>
        <v>119.86705970770394</v>
      </c>
      <c r="M162">
        <v>160</v>
      </c>
      <c r="N162">
        <f t="shared" si="13"/>
        <v>0</v>
      </c>
      <c r="O162">
        <f ca="1">SUM($N$2:N162)/M162</f>
        <v>121.99735312194066</v>
      </c>
    </row>
    <row r="163" spans="1:15" x14ac:dyDescent="0.2">
      <c r="A163">
        <v>161</v>
      </c>
      <c r="B163" s="11">
        <f t="shared" si="10"/>
        <v>0</v>
      </c>
      <c r="C163">
        <f ca="1">SUM($B$2:B163)/A163</f>
        <v>119.12254380889833</v>
      </c>
      <c r="E163">
        <v>161</v>
      </c>
      <c r="F163" s="11">
        <f t="shared" si="11"/>
        <v>0</v>
      </c>
      <c r="G163">
        <f ca="1">SUM($F$2:F163)/E163</f>
        <v>121.23960558702177</v>
      </c>
      <c r="I163">
        <v>161</v>
      </c>
      <c r="J163">
        <f t="shared" si="12"/>
        <v>0</v>
      </c>
      <c r="K163">
        <f ca="1">SUM($J$2:J163)/I163</f>
        <v>119.12254380889833</v>
      </c>
      <c r="M163">
        <v>161</v>
      </c>
      <c r="N163">
        <f t="shared" si="13"/>
        <v>0</v>
      </c>
      <c r="O163">
        <f ca="1">SUM($N$2:N163)/M163</f>
        <v>121.23960558702177</v>
      </c>
    </row>
    <row r="164" spans="1:15" x14ac:dyDescent="0.2">
      <c r="A164">
        <v>162</v>
      </c>
      <c r="B164" s="11">
        <f t="shared" si="10"/>
        <v>0</v>
      </c>
      <c r="C164">
        <f ca="1">SUM($B$2:B164)/A164</f>
        <v>118.38721946439897</v>
      </c>
      <c r="E164">
        <v>162</v>
      </c>
      <c r="F164" s="11">
        <f t="shared" si="11"/>
        <v>0</v>
      </c>
      <c r="G164">
        <f ca="1">SUM($F$2:F164)/E164</f>
        <v>120.49121295994139</v>
      </c>
      <c r="I164">
        <v>162</v>
      </c>
      <c r="J164">
        <f t="shared" si="12"/>
        <v>0</v>
      </c>
      <c r="K164">
        <f ca="1">SUM($J$2:J164)/I164</f>
        <v>118.38721946439897</v>
      </c>
      <c r="M164">
        <v>162</v>
      </c>
      <c r="N164">
        <f t="shared" si="13"/>
        <v>0</v>
      </c>
      <c r="O164">
        <f ca="1">SUM($N$2:N164)/M164</f>
        <v>120.49121295994139</v>
      </c>
    </row>
    <row r="165" spans="1:15" x14ac:dyDescent="0.2">
      <c r="A165">
        <v>163</v>
      </c>
      <c r="B165" s="11">
        <f t="shared" si="10"/>
        <v>0</v>
      </c>
      <c r="C165">
        <f ca="1">SUM($B$2:B165)/A165</f>
        <v>117.66091750449468</v>
      </c>
      <c r="E165">
        <v>163</v>
      </c>
      <c r="F165" s="11">
        <f t="shared" si="11"/>
        <v>0</v>
      </c>
      <c r="G165">
        <f ca="1">SUM($F$2:F165)/E165</f>
        <v>119.75200306448163</v>
      </c>
      <c r="I165">
        <v>163</v>
      </c>
      <c r="J165">
        <f t="shared" si="12"/>
        <v>0</v>
      </c>
      <c r="K165">
        <f ca="1">SUM($J$2:J165)/I165</f>
        <v>117.66091750449468</v>
      </c>
      <c r="M165">
        <v>163</v>
      </c>
      <c r="N165">
        <f t="shared" si="13"/>
        <v>0</v>
      </c>
      <c r="O165">
        <f ca="1">SUM($N$2:N165)/M165</f>
        <v>119.75200306448163</v>
      </c>
    </row>
    <row r="166" spans="1:15" x14ac:dyDescent="0.2">
      <c r="A166">
        <v>164</v>
      </c>
      <c r="B166" s="11">
        <f t="shared" si="10"/>
        <v>0</v>
      </c>
      <c r="C166">
        <f ca="1">SUM($B$2:B166)/A166</f>
        <v>116.94347288556483</v>
      </c>
      <c r="E166">
        <v>164</v>
      </c>
      <c r="F166" s="11">
        <f t="shared" si="11"/>
        <v>0</v>
      </c>
      <c r="G166">
        <f ca="1">SUM($F$2:F166)/E166</f>
        <v>119.02180792384455</v>
      </c>
      <c r="I166">
        <v>164</v>
      </c>
      <c r="J166">
        <f t="shared" si="12"/>
        <v>0</v>
      </c>
      <c r="K166">
        <f ca="1">SUM($J$2:J166)/I166</f>
        <v>116.94347288556483</v>
      </c>
      <c r="M166">
        <v>164</v>
      </c>
      <c r="N166">
        <f t="shared" si="13"/>
        <v>0</v>
      </c>
      <c r="O166">
        <f ca="1">SUM($N$2:N166)/M166</f>
        <v>119.02180792384455</v>
      </c>
    </row>
    <row r="167" spans="1:15" x14ac:dyDescent="0.2">
      <c r="A167">
        <v>165</v>
      </c>
      <c r="B167" s="11">
        <f t="shared" si="10"/>
        <v>0</v>
      </c>
      <c r="C167">
        <f ca="1">SUM($B$2:B167)/A167</f>
        <v>116.23472456504625</v>
      </c>
      <c r="E167">
        <v>165</v>
      </c>
      <c r="F167" s="11">
        <f t="shared" si="11"/>
        <v>0</v>
      </c>
      <c r="G167">
        <f ca="1">SUM($F$2:F167)/E167</f>
        <v>118.300463633397</v>
      </c>
      <c r="I167">
        <v>165</v>
      </c>
      <c r="J167">
        <f t="shared" si="12"/>
        <v>0</v>
      </c>
      <c r="K167">
        <f ca="1">SUM($J$2:J167)/I167</f>
        <v>116.23472456504625</v>
      </c>
      <c r="M167">
        <v>165</v>
      </c>
      <c r="N167">
        <f t="shared" si="13"/>
        <v>0</v>
      </c>
      <c r="O167">
        <f ca="1">SUM($N$2:N167)/M167</f>
        <v>118.300463633397</v>
      </c>
    </row>
    <row r="168" spans="1:15" x14ac:dyDescent="0.2">
      <c r="A168">
        <v>166</v>
      </c>
      <c r="B168" s="11">
        <f t="shared" si="10"/>
        <v>0</v>
      </c>
      <c r="C168">
        <f ca="1">SUM($B$2:B168)/A168</f>
        <v>115.53451538091947</v>
      </c>
      <c r="E168">
        <v>166</v>
      </c>
      <c r="F168" s="11">
        <f t="shared" si="11"/>
        <v>0</v>
      </c>
      <c r="G168">
        <f ca="1">SUM($F$2:F168)/E168</f>
        <v>117.58781023801509</v>
      </c>
      <c r="I168">
        <v>166</v>
      </c>
      <c r="J168">
        <f t="shared" si="12"/>
        <v>0</v>
      </c>
      <c r="K168">
        <f ca="1">SUM($J$2:J168)/I168</f>
        <v>115.53451538091947</v>
      </c>
      <c r="M168">
        <v>166</v>
      </c>
      <c r="N168">
        <f t="shared" si="13"/>
        <v>0</v>
      </c>
      <c r="O168">
        <f ca="1">SUM($N$2:N168)/M168</f>
        <v>117.58781023801509</v>
      </c>
    </row>
    <row r="169" spans="1:15" x14ac:dyDescent="0.2">
      <c r="A169">
        <v>167</v>
      </c>
      <c r="B169" s="11">
        <f t="shared" si="10"/>
        <v>0</v>
      </c>
      <c r="C169">
        <f ca="1">SUM($B$2:B169)/A169</f>
        <v>114.84269193552474</v>
      </c>
      <c r="E169">
        <v>167</v>
      </c>
      <c r="F169" s="11">
        <f t="shared" si="11"/>
        <v>0</v>
      </c>
      <c r="G169">
        <f ca="1">SUM($F$2:F169)/E169</f>
        <v>116.88369161383537</v>
      </c>
      <c r="I169">
        <v>167</v>
      </c>
      <c r="J169">
        <f t="shared" si="12"/>
        <v>0</v>
      </c>
      <c r="K169">
        <f ca="1">SUM($J$2:J169)/I169</f>
        <v>114.84269193552474</v>
      </c>
      <c r="M169">
        <v>167</v>
      </c>
      <c r="N169">
        <f t="shared" si="13"/>
        <v>0</v>
      </c>
      <c r="O169">
        <f ca="1">SUM($N$2:N169)/M169</f>
        <v>116.88369161383537</v>
      </c>
    </row>
    <row r="170" spans="1:15" x14ac:dyDescent="0.2">
      <c r="A170">
        <v>168</v>
      </c>
      <c r="B170" s="11">
        <f t="shared" si="10"/>
        <v>0</v>
      </c>
      <c r="C170">
        <f ca="1">SUM($B$2:B170)/A170</f>
        <v>114.15910448352757</v>
      </c>
      <c r="E170">
        <v>168</v>
      </c>
      <c r="F170" s="11">
        <f t="shared" si="11"/>
        <v>0</v>
      </c>
      <c r="G170">
        <f ca="1">SUM($F$2:F170)/E170</f>
        <v>116.1879553542292</v>
      </c>
      <c r="I170">
        <v>168</v>
      </c>
      <c r="J170">
        <f t="shared" si="12"/>
        <v>0</v>
      </c>
      <c r="K170">
        <f ca="1">SUM($J$2:J170)/I170</f>
        <v>114.15910448352757</v>
      </c>
      <c r="M170">
        <v>168</v>
      </c>
      <c r="N170">
        <f t="shared" si="13"/>
        <v>0</v>
      </c>
      <c r="O170">
        <f ca="1">SUM($N$2:N170)/M170</f>
        <v>116.1879553542292</v>
      </c>
    </row>
    <row r="171" spans="1:15" x14ac:dyDescent="0.2">
      <c r="A171">
        <v>169</v>
      </c>
      <c r="B171" s="11">
        <f t="shared" si="10"/>
        <v>0</v>
      </c>
      <c r="C171">
        <f ca="1">SUM($B$2:B171)/A171</f>
        <v>113.48360682386172</v>
      </c>
      <c r="E171">
        <v>169</v>
      </c>
      <c r="F171" s="11">
        <f t="shared" si="11"/>
        <v>0</v>
      </c>
      <c r="G171">
        <f ca="1">SUM($F$2:F171)/E171</f>
        <v>115.50045265982547</v>
      </c>
      <c r="I171">
        <v>169</v>
      </c>
      <c r="J171">
        <f t="shared" si="12"/>
        <v>0</v>
      </c>
      <c r="K171">
        <f ca="1">SUM($J$2:J171)/I171</f>
        <v>113.48360682386172</v>
      </c>
      <c r="M171">
        <v>169</v>
      </c>
      <c r="N171">
        <f t="shared" si="13"/>
        <v>0</v>
      </c>
      <c r="O171">
        <f ca="1">SUM($N$2:N171)/M171</f>
        <v>115.50045265982547</v>
      </c>
    </row>
    <row r="172" spans="1:15" x14ac:dyDescent="0.2">
      <c r="A172">
        <v>170</v>
      </c>
      <c r="B172" s="11">
        <f t="shared" si="10"/>
        <v>0</v>
      </c>
      <c r="C172">
        <f ca="1">SUM($B$2:B172)/A172</f>
        <v>112.81605619548607</v>
      </c>
      <c r="E172">
        <v>170</v>
      </c>
      <c r="F172" s="11">
        <f t="shared" si="11"/>
        <v>0</v>
      </c>
      <c r="G172">
        <f ca="1">SUM($F$2:F172)/E172</f>
        <v>114.82103823241474</v>
      </c>
      <c r="I172">
        <v>170</v>
      </c>
      <c r="J172">
        <f t="shared" si="12"/>
        <v>0</v>
      </c>
      <c r="K172">
        <f ca="1">SUM($J$2:J172)/I172</f>
        <v>112.81605619548607</v>
      </c>
      <c r="M172">
        <v>170</v>
      </c>
      <c r="N172">
        <f t="shared" si="13"/>
        <v>0</v>
      </c>
      <c r="O172">
        <f ca="1">SUM($N$2:N172)/M172</f>
        <v>114.82103823241474</v>
      </c>
    </row>
    <row r="173" spans="1:15" x14ac:dyDescent="0.2">
      <c r="A173">
        <v>171</v>
      </c>
      <c r="B173" s="11">
        <f t="shared" si="10"/>
        <v>0</v>
      </c>
      <c r="C173">
        <f ca="1">SUM($B$2:B173)/A173</f>
        <v>112.15631317679902</v>
      </c>
      <c r="E173">
        <v>171</v>
      </c>
      <c r="F173" s="11">
        <f t="shared" si="11"/>
        <v>0</v>
      </c>
      <c r="G173">
        <f ca="1">SUM($F$2:F173)/E173</f>
        <v>114.14957017257606</v>
      </c>
      <c r="I173">
        <v>171</v>
      </c>
      <c r="J173">
        <f t="shared" si="12"/>
        <v>0</v>
      </c>
      <c r="K173">
        <f ca="1">SUM($J$2:J173)/I173</f>
        <v>112.15631317679902</v>
      </c>
      <c r="M173">
        <v>171</v>
      </c>
      <c r="N173">
        <f t="shared" si="13"/>
        <v>0</v>
      </c>
      <c r="O173">
        <f ca="1">SUM($N$2:N173)/M173</f>
        <v>114.14957017257606</v>
      </c>
    </row>
    <row r="174" spans="1:15" x14ac:dyDescent="0.2">
      <c r="A174">
        <v>172</v>
      </c>
      <c r="B174" s="11">
        <f t="shared" si="10"/>
        <v>0</v>
      </c>
      <c r="C174">
        <f ca="1">SUM($B$2:B174)/A174</f>
        <v>111.50424158856181</v>
      </c>
      <c r="E174">
        <v>172</v>
      </c>
      <c r="F174" s="11">
        <f t="shared" si="11"/>
        <v>0</v>
      </c>
      <c r="G174">
        <f ca="1">SUM($F$2:F174)/E174</f>
        <v>113.48590988087503</v>
      </c>
      <c r="I174">
        <v>172</v>
      </c>
      <c r="J174">
        <f t="shared" si="12"/>
        <v>0</v>
      </c>
      <c r="K174">
        <f ca="1">SUM($J$2:J174)/I174</f>
        <v>111.50424158856181</v>
      </c>
      <c r="M174">
        <v>172</v>
      </c>
      <c r="N174">
        <f t="shared" si="13"/>
        <v>0</v>
      </c>
      <c r="O174">
        <f ca="1">SUM($N$2:N174)/M174</f>
        <v>113.48590988087503</v>
      </c>
    </row>
    <row r="175" spans="1:15" x14ac:dyDescent="0.2">
      <c r="A175">
        <v>173</v>
      </c>
      <c r="B175" s="11">
        <f t="shared" si="10"/>
        <v>0</v>
      </c>
      <c r="C175">
        <f ca="1">SUM($B$2:B175)/A175</f>
        <v>110.85970840018862</v>
      </c>
      <c r="E175">
        <v>173</v>
      </c>
      <c r="F175" s="11">
        <f t="shared" si="11"/>
        <v>0</v>
      </c>
      <c r="G175">
        <f ca="1">SUM($F$2:F175)/E175</f>
        <v>112.82992196248847</v>
      </c>
      <c r="I175">
        <v>173</v>
      </c>
      <c r="J175">
        <f t="shared" si="12"/>
        <v>0</v>
      </c>
      <c r="K175">
        <f ca="1">SUM($J$2:J175)/I175</f>
        <v>110.85970840018862</v>
      </c>
      <c r="M175">
        <v>173</v>
      </c>
      <c r="N175">
        <f t="shared" si="13"/>
        <v>0</v>
      </c>
      <c r="O175">
        <f ca="1">SUM($N$2:N175)/M175</f>
        <v>112.82992196248847</v>
      </c>
    </row>
    <row r="176" spans="1:15" x14ac:dyDescent="0.2">
      <c r="A176">
        <v>174</v>
      </c>
      <c r="B176" s="11">
        <f t="shared" si="10"/>
        <v>0</v>
      </c>
      <c r="C176">
        <f ca="1">SUM($B$2:B176)/A176</f>
        <v>110.222583639268</v>
      </c>
      <c r="E176">
        <v>174</v>
      </c>
      <c r="F176" s="11">
        <f t="shared" si="11"/>
        <v>0</v>
      </c>
      <c r="G176">
        <f ca="1">SUM($F$2:F176)/E176</f>
        <v>112.18147413511785</v>
      </c>
      <c r="I176">
        <v>174</v>
      </c>
      <c r="J176">
        <f t="shared" si="12"/>
        <v>0</v>
      </c>
      <c r="K176">
        <f ca="1">SUM($J$2:J176)/I176</f>
        <v>110.222583639268</v>
      </c>
      <c r="M176">
        <v>174</v>
      </c>
      <c r="N176">
        <f t="shared" si="13"/>
        <v>0</v>
      </c>
      <c r="O176">
        <f ca="1">SUM($N$2:N176)/M176</f>
        <v>112.18147413511785</v>
      </c>
    </row>
    <row r="177" spans="1:15" x14ac:dyDescent="0.2">
      <c r="A177">
        <v>175</v>
      </c>
      <c r="B177" s="11">
        <f t="shared" si="10"/>
        <v>0</v>
      </c>
      <c r="C177">
        <f ca="1">SUM($B$2:B177)/A177</f>
        <v>109.59274030418646</v>
      </c>
      <c r="E177">
        <v>175</v>
      </c>
      <c r="F177" s="11">
        <f t="shared" si="11"/>
        <v>0</v>
      </c>
      <c r="G177">
        <f ca="1">SUM($F$2:F177)/E177</f>
        <v>111.54043714006004</v>
      </c>
      <c r="I177">
        <v>175</v>
      </c>
      <c r="J177">
        <f t="shared" si="12"/>
        <v>0</v>
      </c>
      <c r="K177">
        <f ca="1">SUM($J$2:J177)/I177</f>
        <v>109.59274030418646</v>
      </c>
      <c r="M177">
        <v>175</v>
      </c>
      <c r="N177">
        <f t="shared" si="13"/>
        <v>0</v>
      </c>
      <c r="O177">
        <f ca="1">SUM($N$2:N177)/M177</f>
        <v>111.54043714006004</v>
      </c>
    </row>
    <row r="178" spans="1:15" x14ac:dyDescent="0.2">
      <c r="A178">
        <v>176</v>
      </c>
      <c r="B178" s="11">
        <f t="shared" si="10"/>
        <v>0</v>
      </c>
      <c r="C178">
        <f ca="1">SUM($B$2:B178)/A178</f>
        <v>108.97005427973086</v>
      </c>
      <c r="E178">
        <v>176</v>
      </c>
      <c r="F178" s="11">
        <f t="shared" si="11"/>
        <v>0</v>
      </c>
      <c r="G178">
        <f ca="1">SUM($F$2:F178)/E178</f>
        <v>110.90668465630969</v>
      </c>
      <c r="I178">
        <v>176</v>
      </c>
      <c r="J178">
        <f t="shared" si="12"/>
        <v>0</v>
      </c>
      <c r="K178">
        <f ca="1">SUM($J$2:J178)/I178</f>
        <v>108.97005427973086</v>
      </c>
      <c r="M178">
        <v>176</v>
      </c>
      <c r="N178">
        <f t="shared" si="13"/>
        <v>0</v>
      </c>
      <c r="O178">
        <f ca="1">SUM($N$2:N178)/M178</f>
        <v>110.90668465630969</v>
      </c>
    </row>
    <row r="179" spans="1:15" x14ac:dyDescent="0.2">
      <c r="A179">
        <v>177</v>
      </c>
      <c r="B179" s="11">
        <f t="shared" si="10"/>
        <v>0</v>
      </c>
      <c r="C179">
        <f ca="1">SUM($B$2:B179)/A179</f>
        <v>108.35440425555159</v>
      </c>
      <c r="E179">
        <v>177</v>
      </c>
      <c r="F179" s="11">
        <f t="shared" si="11"/>
        <v>0</v>
      </c>
      <c r="G179">
        <f ca="1">SUM($F$2:F179)/E179</f>
        <v>110.28009321757348</v>
      </c>
      <c r="I179">
        <v>177</v>
      </c>
      <c r="J179">
        <f t="shared" si="12"/>
        <v>0</v>
      </c>
      <c r="K179">
        <f ca="1">SUM($J$2:J179)/I179</f>
        <v>108.35440425555159</v>
      </c>
      <c r="M179">
        <v>177</v>
      </c>
      <c r="N179">
        <f t="shared" si="13"/>
        <v>0</v>
      </c>
      <c r="O179">
        <f ca="1">SUM($N$2:N179)/M179</f>
        <v>110.28009321757348</v>
      </c>
    </row>
    <row r="180" spans="1:15" x14ac:dyDescent="0.2">
      <c r="A180">
        <v>178</v>
      </c>
      <c r="B180" s="11">
        <f t="shared" si="10"/>
        <v>0</v>
      </c>
      <c r="C180">
        <f ca="1">SUM($B$2:B180)/A180</f>
        <v>107.74567164737434</v>
      </c>
      <c r="E180">
        <v>178</v>
      </c>
      <c r="F180" s="11">
        <f t="shared" si="11"/>
        <v>0</v>
      </c>
      <c r="G180">
        <f ca="1">SUM($F$2:F180)/E180</f>
        <v>109.66054213208149</v>
      </c>
      <c r="I180">
        <v>178</v>
      </c>
      <c r="J180">
        <f t="shared" si="12"/>
        <v>0</v>
      </c>
      <c r="K180">
        <f ca="1">SUM($J$2:J180)/I180</f>
        <v>107.74567164737434</v>
      </c>
      <c r="M180">
        <v>178</v>
      </c>
      <c r="N180">
        <f t="shared" si="13"/>
        <v>0</v>
      </c>
      <c r="O180">
        <f ca="1">SUM($N$2:N180)/M180</f>
        <v>109.66054213208149</v>
      </c>
    </row>
    <row r="181" spans="1:15" x14ac:dyDescent="0.2">
      <c r="A181">
        <v>179</v>
      </c>
      <c r="B181" s="11">
        <f t="shared" si="10"/>
        <v>0</v>
      </c>
      <c r="C181">
        <f ca="1">SUM($B$2:B181)/A181</f>
        <v>107.14374052085269</v>
      </c>
      <c r="E181">
        <v>179</v>
      </c>
      <c r="F181" s="11">
        <f t="shared" si="11"/>
        <v>0</v>
      </c>
      <c r="G181">
        <f ca="1">SUM($F$2:F181)/E181</f>
        <v>109.04791340508662</v>
      </c>
      <c r="I181">
        <v>179</v>
      </c>
      <c r="J181">
        <f t="shared" si="12"/>
        <v>0</v>
      </c>
      <c r="K181">
        <f ca="1">SUM($J$2:J181)/I181</f>
        <v>107.14374052085269</v>
      </c>
      <c r="M181">
        <v>179</v>
      </c>
      <c r="N181">
        <f t="shared" si="13"/>
        <v>0</v>
      </c>
      <c r="O181">
        <f ca="1">SUM($N$2:N181)/M181</f>
        <v>109.04791340508662</v>
      </c>
    </row>
    <row r="182" spans="1:15" x14ac:dyDescent="0.2">
      <c r="A182">
        <v>180</v>
      </c>
      <c r="B182" s="11">
        <f t="shared" si="10"/>
        <v>0</v>
      </c>
      <c r="C182">
        <f ca="1">SUM($B$2:B182)/A182</f>
        <v>106.54849751795906</v>
      </c>
      <c r="E182">
        <v>180</v>
      </c>
      <c r="F182" s="11">
        <f t="shared" si="11"/>
        <v>0</v>
      </c>
      <c r="G182">
        <f ca="1">SUM($F$2:F182)/E182</f>
        <v>108.44209166394725</v>
      </c>
      <c r="I182">
        <v>180</v>
      </c>
      <c r="J182">
        <f t="shared" si="12"/>
        <v>0</v>
      </c>
      <c r="K182">
        <f ca="1">SUM($J$2:J182)/I182</f>
        <v>106.54849751795906</v>
      </c>
      <c r="M182">
        <v>180</v>
      </c>
      <c r="N182">
        <f t="shared" si="13"/>
        <v>0</v>
      </c>
      <c r="O182">
        <f ca="1">SUM($N$2:N182)/M182</f>
        <v>108.44209166394725</v>
      </c>
    </row>
    <row r="183" spans="1:15" x14ac:dyDescent="0.2">
      <c r="A183">
        <v>181</v>
      </c>
      <c r="B183" s="11">
        <f t="shared" ca="1" si="10"/>
        <v>118.58197021550885</v>
      </c>
      <c r="C183">
        <f ca="1">SUM($B$2:B183)/A183</f>
        <v>106.61498079253117</v>
      </c>
      <c r="E183">
        <v>181</v>
      </c>
      <c r="F183" s="11">
        <f t="shared" ca="1" si="11"/>
        <v>142.35764995105063</v>
      </c>
      <c r="G183">
        <f ca="1">SUM($F$2:F183)/E183</f>
        <v>108.62947043901411</v>
      </c>
      <c r="I183">
        <v>181</v>
      </c>
      <c r="J183">
        <f t="shared" ca="1" si="12"/>
        <v>118.58197021550885</v>
      </c>
      <c r="K183">
        <f ca="1">SUM($J$2:J183)/I183</f>
        <v>106.61498079253117</v>
      </c>
      <c r="M183">
        <v>181</v>
      </c>
      <c r="N183">
        <f t="shared" ca="1" si="13"/>
        <v>142.35764995105063</v>
      </c>
      <c r="O183">
        <f ca="1">SUM($N$2:N183)/M183</f>
        <v>108.62947043901411</v>
      </c>
    </row>
    <row r="184" spans="1:15" x14ac:dyDescent="0.2">
      <c r="A184">
        <v>182</v>
      </c>
      <c r="B184" s="11">
        <f t="shared" ca="1" si="10"/>
        <v>237.16394043101769</v>
      </c>
      <c r="C184">
        <f ca="1">SUM($B$2:B184)/A184</f>
        <v>107.33228276856681</v>
      </c>
      <c r="E184">
        <v>182</v>
      </c>
      <c r="F184" s="11">
        <f t="shared" ca="1" si="11"/>
        <v>284.71529990210126</v>
      </c>
      <c r="G184">
        <f ca="1">SUM($F$2:F184)/E184</f>
        <v>109.5969749965036</v>
      </c>
      <c r="I184">
        <v>182</v>
      </c>
      <c r="J184">
        <f t="shared" ca="1" si="12"/>
        <v>237.16394043101769</v>
      </c>
      <c r="K184">
        <f ca="1">SUM($J$2:J184)/I184</f>
        <v>107.33228276856681</v>
      </c>
      <c r="M184">
        <v>182</v>
      </c>
      <c r="N184">
        <f t="shared" ca="1" si="13"/>
        <v>284.71529990210126</v>
      </c>
      <c r="O184">
        <f ca="1">SUM($N$2:N184)/M184</f>
        <v>109.5969749965036</v>
      </c>
    </row>
    <row r="185" spans="1:15" x14ac:dyDescent="0.2">
      <c r="A185">
        <v>183</v>
      </c>
      <c r="B185" s="11">
        <f t="shared" ca="1" si="10"/>
        <v>355.74591064652657</v>
      </c>
      <c r="C185">
        <f ca="1">SUM($B$2:B185)/A185</f>
        <v>108.6897342870256</v>
      </c>
      <c r="E185">
        <v>183</v>
      </c>
      <c r="F185" s="11">
        <f t="shared" ca="1" si="11"/>
        <v>427.0729498531519</v>
      </c>
      <c r="G185">
        <f ca="1">SUM($F$2:F185)/E185</f>
        <v>111.33181638916288</v>
      </c>
      <c r="I185">
        <v>183</v>
      </c>
      <c r="J185">
        <f t="shared" ca="1" si="12"/>
        <v>355.74591064652657</v>
      </c>
      <c r="K185">
        <f ca="1">SUM($J$2:J185)/I185</f>
        <v>108.6897342870256</v>
      </c>
      <c r="M185">
        <v>183</v>
      </c>
      <c r="N185">
        <f t="shared" ca="1" si="13"/>
        <v>427.0729498531519</v>
      </c>
      <c r="O185">
        <f ca="1">SUM($N$2:N185)/M185</f>
        <v>111.33181638916288</v>
      </c>
    </row>
    <row r="186" spans="1:15" x14ac:dyDescent="0.2">
      <c r="A186">
        <v>184</v>
      </c>
      <c r="B186" s="11">
        <f t="shared" ca="1" si="10"/>
        <v>474.32788086203539</v>
      </c>
      <c r="C186">
        <f ca="1">SUM($B$2:B186)/A186</f>
        <v>110.67689812710717</v>
      </c>
      <c r="E186">
        <v>184</v>
      </c>
      <c r="F186" s="11">
        <f t="shared" ca="1" si="11"/>
        <v>569.43059980420253</v>
      </c>
      <c r="G186">
        <f ca="1">SUM($F$2:F186)/E186</f>
        <v>113.82148369033158</v>
      </c>
      <c r="I186">
        <v>184</v>
      </c>
      <c r="J186">
        <f t="shared" ca="1" si="12"/>
        <v>474.32788086203539</v>
      </c>
      <c r="K186">
        <f ca="1">SUM($J$2:J186)/I186</f>
        <v>110.67689812710717</v>
      </c>
      <c r="M186">
        <v>184</v>
      </c>
      <c r="N186">
        <f t="shared" ca="1" si="13"/>
        <v>569.43059980420253</v>
      </c>
      <c r="O186">
        <f ca="1">SUM($N$2:N186)/M186</f>
        <v>113.82148369033158</v>
      </c>
    </row>
    <row r="187" spans="1:15" x14ac:dyDescent="0.2">
      <c r="A187">
        <v>185</v>
      </c>
      <c r="B187" s="11">
        <f t="shared" ca="1" si="10"/>
        <v>592.9098510775442</v>
      </c>
      <c r="C187">
        <f ca="1">SUM($B$2:B187)/A187</f>
        <v>113.28356273765007</v>
      </c>
      <c r="E187">
        <v>185</v>
      </c>
      <c r="F187" s="11">
        <f t="shared" ca="1" si="11"/>
        <v>696</v>
      </c>
      <c r="G187">
        <f ca="1">SUM($F$2:F187)/E187</f>
        <v>116.96839458930276</v>
      </c>
      <c r="I187">
        <v>185</v>
      </c>
      <c r="J187">
        <f t="shared" ca="1" si="12"/>
        <v>592.9098510775442</v>
      </c>
      <c r="K187">
        <f ca="1">SUM($J$2:J187)/I187</f>
        <v>113.28356273765007</v>
      </c>
      <c r="M187">
        <v>185</v>
      </c>
      <c r="N187">
        <f t="shared" ca="1" si="13"/>
        <v>696</v>
      </c>
      <c r="O187">
        <f ca="1">SUM($N$2:N187)/M187</f>
        <v>116.96839458930276</v>
      </c>
    </row>
    <row r="188" spans="1:15" x14ac:dyDescent="0.2">
      <c r="A188">
        <v>186</v>
      </c>
      <c r="B188" s="11">
        <f t="shared" ca="1" si="10"/>
        <v>696</v>
      </c>
      <c r="C188">
        <f ca="1">SUM($B$2:B188)/A188</f>
        <v>116.41644680895303</v>
      </c>
      <c r="E188">
        <v>186</v>
      </c>
      <c r="F188" s="11">
        <f t="shared" ca="1" si="11"/>
        <v>696</v>
      </c>
      <c r="G188">
        <f ca="1">SUM($F$2:F188)/E188</f>
        <v>120.0814677366721</v>
      </c>
      <c r="I188">
        <v>186</v>
      </c>
      <c r="J188">
        <f t="shared" ca="1" si="12"/>
        <v>696</v>
      </c>
      <c r="K188">
        <f ca="1">SUM($J$2:J188)/I188</f>
        <v>116.41644680895303</v>
      </c>
      <c r="M188">
        <v>186</v>
      </c>
      <c r="N188">
        <f t="shared" ca="1" si="13"/>
        <v>696</v>
      </c>
      <c r="O188">
        <f ca="1">SUM($N$2:N188)/M188</f>
        <v>120.0814677366721</v>
      </c>
    </row>
    <row r="189" spans="1:15" x14ac:dyDescent="0.2">
      <c r="A189">
        <v>187</v>
      </c>
      <c r="B189" s="11">
        <f t="shared" ca="1" si="10"/>
        <v>696</v>
      </c>
      <c r="C189">
        <f ca="1">SUM($B$2:B189)/A189</f>
        <v>119.51582409874472</v>
      </c>
      <c r="E189">
        <v>187</v>
      </c>
      <c r="F189" s="11">
        <f t="shared" ca="1" si="11"/>
        <v>696</v>
      </c>
      <c r="G189">
        <f ca="1">SUM($F$2:F189)/E189</f>
        <v>123.16124598406958</v>
      </c>
      <c r="I189">
        <v>187</v>
      </c>
      <c r="J189">
        <f t="shared" ca="1" si="12"/>
        <v>696</v>
      </c>
      <c r="K189">
        <f ca="1">SUM($J$2:J189)/I189</f>
        <v>119.51582409874472</v>
      </c>
      <c r="M189">
        <v>187</v>
      </c>
      <c r="N189">
        <f t="shared" ca="1" si="13"/>
        <v>696</v>
      </c>
      <c r="O189">
        <f ca="1">SUM($N$2:N189)/M189</f>
        <v>123.16124598406958</v>
      </c>
    </row>
    <row r="190" spans="1:15" x14ac:dyDescent="0.2">
      <c r="A190">
        <v>188</v>
      </c>
      <c r="B190" s="11">
        <f t="shared" ca="1" si="10"/>
        <v>696</v>
      </c>
      <c r="C190">
        <f ca="1">SUM($B$2:B190)/A190</f>
        <v>122.58222928970885</v>
      </c>
      <c r="E190">
        <v>188</v>
      </c>
      <c r="F190" s="11">
        <f t="shared" ca="1" si="11"/>
        <v>696</v>
      </c>
      <c r="G190">
        <f ca="1">SUM($F$2:F190)/E190</f>
        <v>126.20826063309049</v>
      </c>
      <c r="I190">
        <v>188</v>
      </c>
      <c r="J190">
        <f t="shared" ca="1" si="12"/>
        <v>696</v>
      </c>
      <c r="K190">
        <f ca="1">SUM($J$2:J190)/I190</f>
        <v>122.58222928970885</v>
      </c>
      <c r="M190">
        <v>188</v>
      </c>
      <c r="N190">
        <f t="shared" ca="1" si="13"/>
        <v>696</v>
      </c>
      <c r="O190">
        <f ca="1">SUM($N$2:N190)/M190</f>
        <v>126.20826063309049</v>
      </c>
    </row>
    <row r="191" spans="1:15" x14ac:dyDescent="0.2">
      <c r="A191">
        <v>189</v>
      </c>
      <c r="B191" s="11">
        <f t="shared" ca="1" si="10"/>
        <v>696</v>
      </c>
      <c r="C191">
        <f ca="1">SUM($B$2:B191)/A191</f>
        <v>125.61618574849345</v>
      </c>
      <c r="E191">
        <v>189</v>
      </c>
      <c r="F191" s="11">
        <f t="shared" ca="1" si="11"/>
        <v>696</v>
      </c>
      <c r="G191">
        <f ca="1">SUM($F$2:F191)/E191</f>
        <v>129.22303174085192</v>
      </c>
      <c r="I191">
        <v>189</v>
      </c>
      <c r="J191">
        <f t="shared" ca="1" si="12"/>
        <v>696</v>
      </c>
      <c r="K191">
        <f ca="1">SUM($J$2:J191)/I191</f>
        <v>125.61618574849345</v>
      </c>
      <c r="M191">
        <v>189</v>
      </c>
      <c r="N191">
        <f t="shared" ca="1" si="13"/>
        <v>696</v>
      </c>
      <c r="O191">
        <f ca="1">SUM($N$2:N191)/M191</f>
        <v>129.22303174085192</v>
      </c>
    </row>
    <row r="192" spans="1:15" x14ac:dyDescent="0.2">
      <c r="A192">
        <v>190</v>
      </c>
      <c r="B192" s="11">
        <f t="shared" ca="1" si="10"/>
        <v>696</v>
      </c>
      <c r="C192">
        <f ca="1">SUM($B$2:B192)/A192</f>
        <v>128.6182058235014</v>
      </c>
      <c r="E192">
        <v>190</v>
      </c>
      <c r="F192" s="11">
        <f t="shared" ca="1" si="11"/>
        <v>696</v>
      </c>
      <c r="G192">
        <f ca="1">SUM($F$2:F192)/E192</f>
        <v>132.20606841590006</v>
      </c>
      <c r="I192">
        <v>190</v>
      </c>
      <c r="J192">
        <f t="shared" ca="1" si="12"/>
        <v>696</v>
      </c>
      <c r="K192">
        <f ca="1">SUM($J$2:J192)/I192</f>
        <v>128.6182058235014</v>
      </c>
      <c r="M192">
        <v>190</v>
      </c>
      <c r="N192">
        <f t="shared" ca="1" si="13"/>
        <v>696</v>
      </c>
      <c r="O192">
        <f ca="1">SUM($N$2:N192)/M192</f>
        <v>132.20606841590006</v>
      </c>
    </row>
    <row r="193" spans="1:15" x14ac:dyDescent="0.2">
      <c r="A193">
        <v>191</v>
      </c>
      <c r="B193" s="11">
        <f t="shared" ca="1" si="10"/>
        <v>696</v>
      </c>
      <c r="C193">
        <f ca="1">SUM($B$2:B193)/A193</f>
        <v>131.588791133326</v>
      </c>
      <c r="E193">
        <v>191</v>
      </c>
      <c r="F193" s="11">
        <f t="shared" ca="1" si="11"/>
        <v>696</v>
      </c>
      <c r="G193">
        <f ca="1">SUM($F$2:F193)/E193</f>
        <v>135.15786910482205</v>
      </c>
      <c r="I193">
        <v>191</v>
      </c>
      <c r="J193">
        <f t="shared" ca="1" si="12"/>
        <v>696</v>
      </c>
      <c r="K193">
        <f ca="1">SUM($J$2:J193)/I193</f>
        <v>131.588791133326</v>
      </c>
      <c r="M193">
        <v>191</v>
      </c>
      <c r="N193">
        <f t="shared" ca="1" si="13"/>
        <v>696</v>
      </c>
      <c r="O193">
        <f ca="1">SUM($N$2:N193)/M193</f>
        <v>135.15786910482205</v>
      </c>
    </row>
    <row r="194" spans="1:15" x14ac:dyDescent="0.2">
      <c r="A194">
        <v>192</v>
      </c>
      <c r="B194" s="11">
        <f t="shared" ca="1" si="10"/>
        <v>696</v>
      </c>
      <c r="C194">
        <f ca="1">SUM($B$2:B194)/A194</f>
        <v>134.52843284617325</v>
      </c>
      <c r="E194">
        <v>192</v>
      </c>
      <c r="F194" s="11">
        <f t="shared" ca="1" si="11"/>
        <v>696</v>
      </c>
      <c r="G194">
        <f ca="1">SUM($F$2:F194)/E194</f>
        <v>138.07892186990111</v>
      </c>
      <c r="I194">
        <v>192</v>
      </c>
      <c r="J194">
        <f t="shared" ca="1" si="12"/>
        <v>696</v>
      </c>
      <c r="K194">
        <f ca="1">SUM($J$2:J194)/I194</f>
        <v>134.52843284617325</v>
      </c>
      <c r="M194">
        <v>192</v>
      </c>
      <c r="N194">
        <f t="shared" ca="1" si="13"/>
        <v>696</v>
      </c>
      <c r="O194">
        <f ca="1">SUM($N$2:N194)/M194</f>
        <v>138.07892186990111</v>
      </c>
    </row>
    <row r="195" spans="1:15" x14ac:dyDescent="0.2">
      <c r="A195">
        <v>193</v>
      </c>
      <c r="B195" s="11">
        <f t="shared" ref="B195:B258" ca="1" si="14">IF(ARCap-IF((A195-IF(A195/180&gt;1,ROUNDDOWN(A195/180,0)*180,0))/30&lt;=1,IF(200*15*BaseSpeed/60*(YellowConnects+WhiteMHConnects+WhiteOHConnects+HoJConnects+WindfuryConnects+SSConnects+IronfoeConnects)*(A195-180*ROUNDDOWN(A195/180,0))&gt;1200,1200,200*15*BaseSpeed/60*(YellowConnects+WhiteMHConnects+WhiteOHConnects+HoJConnects+WindfuryConnects+SSConnects+IronfoeConnects)*(A195-180*ROUNDDOWN(A195/180,0))),0)&lt;0,ARCap,IF((A195-IF(A195/180&gt;1,ROUNDDOWN(A194/180,0)*180,0))/30&lt;=1,IF(200*15*BaseSpeed/60*(YellowConnects+WhiteMHConnects+WhiteOHConnects+HoJConnects+WindfuryConnects+SSConnects+IronfoeConnects)*(A195-180*ROUNDDOWN(A195/180,0))&gt;1200,1200,200*15*BaseSpeed/60*(YellowConnects+WhiteMHConnects+WhiteOHConnects+HoJConnects+WindfuryConnects+SSConnects+IronfoeConnects)*(A195-180*ROUNDDOWN(A195/180,0))),0))</f>
        <v>696</v>
      </c>
      <c r="C195">
        <f ca="1">SUM($B$2:B195)/A195</f>
        <v>137.43761195059722</v>
      </c>
      <c r="E195">
        <v>193</v>
      </c>
      <c r="F195" s="11">
        <f t="shared" ref="F195:F258" ca="1" si="15">IF(ARCap-IF((A195-IF(A195/180&gt;1,ROUNDDOWN(A195/180,0)*180,0))/30&lt;=1,IF(200*15*BaseSpeed/60*(YellowConnects20+WhiteMHConnects20+WhiteOHConnects20+HoJConnects20+WindfuryConnects20+SSConnects20+IronfoeConnects20)*(A195-180*ROUNDDOWN(A195/180,0))&gt;1200,1200,200*15*BaseSpeed/60*(YellowConnects20+WhiteMHConnects20+WhiteOHConnects20+HoJConnects20+WindfuryConnects20+SSConnects20+IronfoeConnects20)*(A195-180*ROUNDDOWN(A195/180,0))),0)&lt;0,ARCap,IF((A195-IF(A195/180&gt;1,ROUNDDOWN(A195/180,0)*180,0))/30&lt;=1,IF(200*15*BaseSpeed/60*(YellowConnects20+WhiteMHConnects20+WhiteOHConnects20+HoJConnects20+WindfuryConnects20+SSConnects20+IronfoeConnects20)*(A195-180*ROUNDDOWN(A195/180,0))&gt;1200,1200,200*15*BaseSpeed/60*(YellowConnects20+WhiteMHConnects20+WhiteOHConnects20+HoJConnects20+WindfuryConnects20+SSConnects20+IronfoeConnects20)*(A195-180*ROUNDDOWN(A195/180,0))),0))</f>
        <v>696</v>
      </c>
      <c r="G195">
        <f ca="1">SUM($F$2:F195)/E195</f>
        <v>140.96970465813996</v>
      </c>
      <c r="I195">
        <v>193</v>
      </c>
      <c r="J195">
        <f t="shared" ref="J195:J258" ca="1" si="16">IF(ARCap-(B195+BRE)&lt;0,ARCap,B195+BRE)</f>
        <v>696</v>
      </c>
      <c r="K195">
        <f ca="1">SUM($J$2:J195)/I195</f>
        <v>137.43761195059722</v>
      </c>
      <c r="M195">
        <v>193</v>
      </c>
      <c r="N195">
        <f t="shared" ref="N195:N258" ca="1" si="17">IF(ARCap-(F195+BREArmorReduction20)&lt;0,ARCap,F195+BREArmorReduction20)</f>
        <v>696</v>
      </c>
      <c r="O195">
        <f ca="1">SUM($N$2:N195)/M195</f>
        <v>140.96970465813996</v>
      </c>
    </row>
    <row r="196" spans="1:15" x14ac:dyDescent="0.2">
      <c r="A196">
        <v>194</v>
      </c>
      <c r="B196" s="11">
        <f t="shared" ca="1" si="14"/>
        <v>696</v>
      </c>
      <c r="C196">
        <f ca="1">SUM($B$2:B196)/A196</f>
        <v>140.31679951786219</v>
      </c>
      <c r="E196">
        <v>194</v>
      </c>
      <c r="F196" s="11">
        <f t="shared" ca="1" si="15"/>
        <v>696</v>
      </c>
      <c r="G196">
        <f ca="1">SUM($F$2:F196)/E196</f>
        <v>143.83068556196397</v>
      </c>
      <c r="I196">
        <v>194</v>
      </c>
      <c r="J196">
        <f t="shared" ca="1" si="16"/>
        <v>696</v>
      </c>
      <c r="K196">
        <f ca="1">SUM($J$2:J196)/I196</f>
        <v>140.31679951786219</v>
      </c>
      <c r="M196">
        <v>194</v>
      </c>
      <c r="N196">
        <f t="shared" ca="1" si="17"/>
        <v>696</v>
      </c>
      <c r="O196">
        <f ca="1">SUM($N$2:N196)/M196</f>
        <v>143.83068556196397</v>
      </c>
    </row>
    <row r="197" spans="1:15" x14ac:dyDescent="0.2">
      <c r="A197">
        <v>195</v>
      </c>
      <c r="B197" s="11">
        <f t="shared" ca="1" si="14"/>
        <v>696</v>
      </c>
      <c r="C197">
        <f ca="1">SUM($B$2:B197)/A197</f>
        <v>143.16645695623211</v>
      </c>
      <c r="E197">
        <v>195</v>
      </c>
      <c r="F197" s="11">
        <f t="shared" ca="1" si="15"/>
        <v>696</v>
      </c>
      <c r="G197">
        <f ca="1">SUM($F$2:F197)/E197</f>
        <v>146.66232307190262</v>
      </c>
      <c r="I197">
        <v>195</v>
      </c>
      <c r="J197">
        <f t="shared" ca="1" si="16"/>
        <v>696</v>
      </c>
      <c r="K197">
        <f ca="1">SUM($J$2:J197)/I197</f>
        <v>143.16645695623211</v>
      </c>
      <c r="M197">
        <v>195</v>
      </c>
      <c r="N197">
        <f t="shared" ca="1" si="17"/>
        <v>696</v>
      </c>
      <c r="O197">
        <f ca="1">SUM($N$2:N197)/M197</f>
        <v>146.66232307190262</v>
      </c>
    </row>
    <row r="198" spans="1:15" x14ac:dyDescent="0.2">
      <c r="A198">
        <v>196</v>
      </c>
      <c r="B198" s="11">
        <f t="shared" ca="1" si="14"/>
        <v>696</v>
      </c>
      <c r="C198">
        <f ca="1">SUM($B$2:B198)/A198</f>
        <v>145.98703625747584</v>
      </c>
      <c r="E198">
        <v>196</v>
      </c>
      <c r="F198" s="11">
        <f t="shared" ca="1" si="15"/>
        <v>696</v>
      </c>
      <c r="G198">
        <f ca="1">SUM($F$2:F198)/E198</f>
        <v>149.46506632153577</v>
      </c>
      <c r="I198">
        <v>196</v>
      </c>
      <c r="J198">
        <f t="shared" ca="1" si="16"/>
        <v>696</v>
      </c>
      <c r="K198">
        <f ca="1">SUM($J$2:J198)/I198</f>
        <v>145.98703625747584</v>
      </c>
      <c r="M198">
        <v>196</v>
      </c>
      <c r="N198">
        <f t="shared" ca="1" si="17"/>
        <v>696</v>
      </c>
      <c r="O198">
        <f ca="1">SUM($N$2:N198)/M198</f>
        <v>149.46506632153577</v>
      </c>
    </row>
    <row r="199" spans="1:15" x14ac:dyDescent="0.2">
      <c r="A199">
        <v>197</v>
      </c>
      <c r="B199" s="11">
        <f t="shared" ca="1" si="14"/>
        <v>696</v>
      </c>
      <c r="C199">
        <f ca="1">SUM($B$2:B199)/A199</f>
        <v>148.77898023586428</v>
      </c>
      <c r="E199">
        <v>197</v>
      </c>
      <c r="F199" s="11">
        <f t="shared" ca="1" si="15"/>
        <v>696</v>
      </c>
      <c r="G199">
        <f ca="1">SUM($F$2:F199)/E199</f>
        <v>152.23935532497975</v>
      </c>
      <c r="I199">
        <v>197</v>
      </c>
      <c r="J199">
        <f t="shared" ca="1" si="16"/>
        <v>696</v>
      </c>
      <c r="K199">
        <f ca="1">SUM($J$2:J199)/I199</f>
        <v>148.77898023586428</v>
      </c>
      <c r="M199">
        <v>197</v>
      </c>
      <c r="N199">
        <f t="shared" ca="1" si="17"/>
        <v>696</v>
      </c>
      <c r="O199">
        <f ca="1">SUM($N$2:N199)/M199</f>
        <v>152.23935532497975</v>
      </c>
    </row>
    <row r="200" spans="1:15" x14ac:dyDescent="0.2">
      <c r="A200">
        <v>198</v>
      </c>
      <c r="B200" s="11">
        <f t="shared" ca="1" si="14"/>
        <v>696</v>
      </c>
      <c r="C200">
        <f ca="1">SUM($B$2:B200)/A200</f>
        <v>151.54272275992557</v>
      </c>
      <c r="E200">
        <v>198</v>
      </c>
      <c r="F200" s="11">
        <f t="shared" ca="1" si="15"/>
        <v>696</v>
      </c>
      <c r="G200">
        <f ca="1">SUM($F$2:F200)/E200</f>
        <v>154.98562120717682</v>
      </c>
      <c r="I200">
        <v>198</v>
      </c>
      <c r="J200">
        <f t="shared" ca="1" si="16"/>
        <v>696</v>
      </c>
      <c r="K200">
        <f ca="1">SUM($J$2:J200)/I200</f>
        <v>151.54272275992557</v>
      </c>
      <c r="M200">
        <v>198</v>
      </c>
      <c r="N200">
        <f t="shared" ca="1" si="17"/>
        <v>696</v>
      </c>
      <c r="O200">
        <f ca="1">SUM($N$2:N200)/M200</f>
        <v>154.98562120717682</v>
      </c>
    </row>
    <row r="201" spans="1:15" x14ac:dyDescent="0.2">
      <c r="A201">
        <v>199</v>
      </c>
      <c r="B201" s="11">
        <f t="shared" ca="1" si="14"/>
        <v>696</v>
      </c>
      <c r="C201">
        <f ca="1">SUM($B$2:B201)/A201</f>
        <v>154.27868897721237</v>
      </c>
      <c r="E201">
        <v>199</v>
      </c>
      <c r="F201" s="11">
        <f t="shared" ca="1" si="15"/>
        <v>696</v>
      </c>
      <c r="G201">
        <f ca="1">SUM($F$2:F201)/E201</f>
        <v>157.70428642724127</v>
      </c>
      <c r="I201">
        <v>199</v>
      </c>
      <c r="J201">
        <f t="shared" ca="1" si="16"/>
        <v>696</v>
      </c>
      <c r="K201">
        <f ca="1">SUM($J$2:J201)/I201</f>
        <v>154.27868897721237</v>
      </c>
      <c r="M201">
        <v>199</v>
      </c>
      <c r="N201">
        <f t="shared" ca="1" si="17"/>
        <v>696</v>
      </c>
      <c r="O201">
        <f ca="1">SUM($N$2:N201)/M201</f>
        <v>157.70428642724127</v>
      </c>
    </row>
    <row r="202" spans="1:15" x14ac:dyDescent="0.2">
      <c r="A202">
        <v>200</v>
      </c>
      <c r="B202" s="11">
        <f t="shared" ca="1" si="14"/>
        <v>696</v>
      </c>
      <c r="C202">
        <f ca="1">SUM($B$2:B202)/A202</f>
        <v>156.98729553232633</v>
      </c>
      <c r="E202">
        <v>200</v>
      </c>
      <c r="F202" s="11">
        <f t="shared" ca="1" si="15"/>
        <v>696</v>
      </c>
      <c r="G202">
        <f ca="1">SUM($F$2:F202)/E202</f>
        <v>160.39576499510505</v>
      </c>
      <c r="I202">
        <v>200</v>
      </c>
      <c r="J202">
        <f t="shared" ca="1" si="16"/>
        <v>696</v>
      </c>
      <c r="K202">
        <f ca="1">SUM($J$2:J202)/I202</f>
        <v>156.98729553232633</v>
      </c>
      <c r="M202">
        <v>200</v>
      </c>
      <c r="N202">
        <f t="shared" ca="1" si="17"/>
        <v>696</v>
      </c>
      <c r="O202">
        <f ca="1">SUM($N$2:N202)/M202</f>
        <v>160.39576499510505</v>
      </c>
    </row>
    <row r="203" spans="1:15" x14ac:dyDescent="0.2">
      <c r="A203">
        <v>201</v>
      </c>
      <c r="B203" s="11">
        <f t="shared" ca="1" si="14"/>
        <v>696</v>
      </c>
      <c r="C203">
        <f ca="1">SUM($B$2:B203)/A203</f>
        <v>159.66895077843415</v>
      </c>
      <c r="E203">
        <v>201</v>
      </c>
      <c r="F203" s="11">
        <f t="shared" ca="1" si="15"/>
        <v>696</v>
      </c>
      <c r="G203">
        <f ca="1">SUM($F$2:F203)/E203</f>
        <v>163.06046268169658</v>
      </c>
      <c r="I203">
        <v>201</v>
      </c>
      <c r="J203">
        <f t="shared" ca="1" si="16"/>
        <v>696</v>
      </c>
      <c r="K203">
        <f ca="1">SUM($J$2:J203)/I203</f>
        <v>159.66895077843415</v>
      </c>
      <c r="M203">
        <v>201</v>
      </c>
      <c r="N203">
        <f t="shared" ca="1" si="17"/>
        <v>696</v>
      </c>
      <c r="O203">
        <f ca="1">SUM($N$2:N203)/M203</f>
        <v>163.06046268169658</v>
      </c>
    </row>
    <row r="204" spans="1:15" x14ac:dyDescent="0.2">
      <c r="A204">
        <v>202</v>
      </c>
      <c r="B204" s="11">
        <f t="shared" ca="1" si="14"/>
        <v>696</v>
      </c>
      <c r="C204">
        <f ca="1">SUM($B$2:B204)/A204</f>
        <v>162.32405498250131</v>
      </c>
      <c r="E204">
        <v>202</v>
      </c>
      <c r="F204" s="11">
        <f t="shared" ca="1" si="15"/>
        <v>696</v>
      </c>
      <c r="G204">
        <f ca="1">SUM($F$2:F204)/E204</f>
        <v>165.69877722287629</v>
      </c>
      <c r="I204">
        <v>202</v>
      </c>
      <c r="J204">
        <f t="shared" ca="1" si="16"/>
        <v>696</v>
      </c>
      <c r="K204">
        <f ca="1">SUM($J$2:J204)/I204</f>
        <v>162.32405498250131</v>
      </c>
      <c r="M204">
        <v>202</v>
      </c>
      <c r="N204">
        <f t="shared" ca="1" si="17"/>
        <v>696</v>
      </c>
      <c r="O204">
        <f ca="1">SUM($N$2:N204)/M204</f>
        <v>165.69877722287629</v>
      </c>
    </row>
    <row r="205" spans="1:15" x14ac:dyDescent="0.2">
      <c r="A205">
        <v>203</v>
      </c>
      <c r="B205" s="11">
        <f t="shared" ca="1" si="14"/>
        <v>696</v>
      </c>
      <c r="C205">
        <f ca="1">SUM($B$2:B205)/A205</f>
        <v>164.95300052445941</v>
      </c>
      <c r="E205">
        <v>203</v>
      </c>
      <c r="F205" s="11">
        <f t="shared" ca="1" si="15"/>
        <v>696</v>
      </c>
      <c r="G205">
        <f ca="1">SUM($F$2:F205)/E205</f>
        <v>168.31109851734487</v>
      </c>
      <c r="I205">
        <v>203</v>
      </c>
      <c r="J205">
        <f t="shared" ca="1" si="16"/>
        <v>696</v>
      </c>
      <c r="K205">
        <f ca="1">SUM($J$2:J205)/I205</f>
        <v>164.95300052445941</v>
      </c>
      <c r="M205">
        <v>203</v>
      </c>
      <c r="N205">
        <f t="shared" ca="1" si="17"/>
        <v>696</v>
      </c>
      <c r="O205">
        <f ca="1">SUM($N$2:N205)/M205</f>
        <v>168.31109851734487</v>
      </c>
    </row>
    <row r="206" spans="1:15" x14ac:dyDescent="0.2">
      <c r="A206">
        <v>204</v>
      </c>
      <c r="B206" s="11">
        <f t="shared" ca="1" si="14"/>
        <v>696</v>
      </c>
      <c r="C206">
        <f ca="1">SUM($B$2:B206)/A206</f>
        <v>167.55617209051599</v>
      </c>
      <c r="E206">
        <v>204</v>
      </c>
      <c r="F206" s="11">
        <f t="shared" ca="1" si="15"/>
        <v>696</v>
      </c>
      <c r="G206">
        <f ca="1">SUM($F$2:F206)/E206</f>
        <v>170.89780881873045</v>
      </c>
      <c r="I206">
        <v>204</v>
      </c>
      <c r="J206">
        <f t="shared" ca="1" si="16"/>
        <v>696</v>
      </c>
      <c r="K206">
        <f ca="1">SUM($J$2:J206)/I206</f>
        <v>167.55617209051599</v>
      </c>
      <c r="M206">
        <v>204</v>
      </c>
      <c r="N206">
        <f t="shared" ca="1" si="17"/>
        <v>696</v>
      </c>
      <c r="O206">
        <f ca="1">SUM($N$2:N206)/M206</f>
        <v>170.89780881873045</v>
      </c>
    </row>
    <row r="207" spans="1:15" x14ac:dyDescent="0.2">
      <c r="A207">
        <v>205</v>
      </c>
      <c r="B207" s="11">
        <f t="shared" ca="1" si="14"/>
        <v>696</v>
      </c>
      <c r="C207">
        <f ca="1">SUM($B$2:B207)/A207</f>
        <v>170.13394686080616</v>
      </c>
      <c r="E207">
        <v>205</v>
      </c>
      <c r="F207" s="11">
        <f t="shared" ca="1" si="15"/>
        <v>696</v>
      </c>
      <c r="G207">
        <f ca="1">SUM($F$2:F207)/E207</f>
        <v>173.45928292205372</v>
      </c>
      <c r="I207">
        <v>205</v>
      </c>
      <c r="J207">
        <f t="shared" ca="1" si="16"/>
        <v>696</v>
      </c>
      <c r="K207">
        <f ca="1">SUM($J$2:J207)/I207</f>
        <v>170.13394686080616</v>
      </c>
      <c r="M207">
        <v>205</v>
      </c>
      <c r="N207">
        <f t="shared" ca="1" si="17"/>
        <v>696</v>
      </c>
      <c r="O207">
        <f ca="1">SUM($N$2:N207)/M207</f>
        <v>173.45928292205372</v>
      </c>
    </row>
    <row r="208" spans="1:15" x14ac:dyDescent="0.2">
      <c r="A208">
        <v>206</v>
      </c>
      <c r="B208" s="11">
        <f t="shared" ca="1" si="14"/>
        <v>696</v>
      </c>
      <c r="C208">
        <f ca="1">SUM($B$2:B208)/A208</f>
        <v>172.68669469157894</v>
      </c>
      <c r="E208">
        <v>206</v>
      </c>
      <c r="F208" s="11">
        <f t="shared" ca="1" si="15"/>
        <v>696</v>
      </c>
      <c r="G208">
        <f ca="1">SUM($F$2:F208)/E208</f>
        <v>175.99588834476219</v>
      </c>
      <c r="I208">
        <v>206</v>
      </c>
      <c r="J208">
        <f t="shared" ca="1" si="16"/>
        <v>696</v>
      </c>
      <c r="K208">
        <f ca="1">SUM($J$2:J208)/I208</f>
        <v>172.68669469157894</v>
      </c>
      <c r="M208">
        <v>206</v>
      </c>
      <c r="N208">
        <f t="shared" ca="1" si="17"/>
        <v>696</v>
      </c>
      <c r="O208">
        <f ca="1">SUM($N$2:N208)/M208</f>
        <v>175.99588834476219</v>
      </c>
    </row>
    <row r="209" spans="1:15" x14ac:dyDescent="0.2">
      <c r="A209">
        <v>207</v>
      </c>
      <c r="B209" s="11">
        <f t="shared" ca="1" si="14"/>
        <v>696</v>
      </c>
      <c r="C209">
        <f ca="1">SUM($B$2:B209)/A209</f>
        <v>175.21477829210272</v>
      </c>
      <c r="E209">
        <v>207</v>
      </c>
      <c r="F209" s="11">
        <f t="shared" ca="1" si="15"/>
        <v>696</v>
      </c>
      <c r="G209">
        <f ca="1">SUM($F$2:F209)/E209</f>
        <v>178.50798550251696</v>
      </c>
      <c r="I209">
        <v>207</v>
      </c>
      <c r="J209">
        <f t="shared" ca="1" si="16"/>
        <v>696</v>
      </c>
      <c r="K209">
        <f ca="1">SUM($J$2:J209)/I209</f>
        <v>175.21477829210272</v>
      </c>
      <c r="M209">
        <v>207</v>
      </c>
      <c r="N209">
        <f t="shared" ca="1" si="17"/>
        <v>696</v>
      </c>
      <c r="O209">
        <f ca="1">SUM($N$2:N209)/M209</f>
        <v>178.50798550251696</v>
      </c>
    </row>
    <row r="210" spans="1:15" x14ac:dyDescent="0.2">
      <c r="A210">
        <v>208</v>
      </c>
      <c r="B210" s="11">
        <f t="shared" ca="1" si="14"/>
        <v>696</v>
      </c>
      <c r="C210">
        <f ca="1">SUM($B$2:B210)/A210</f>
        <v>177.7185533964676</v>
      </c>
      <c r="E210">
        <v>208</v>
      </c>
      <c r="F210" s="11">
        <f t="shared" ca="1" si="15"/>
        <v>696</v>
      </c>
      <c r="G210">
        <f ca="1">SUM($F$2:F210)/E210</f>
        <v>180.99592787990872</v>
      </c>
      <c r="I210">
        <v>208</v>
      </c>
      <c r="J210">
        <f t="shared" ca="1" si="16"/>
        <v>696</v>
      </c>
      <c r="K210">
        <f ca="1">SUM($J$2:J210)/I210</f>
        <v>177.7185533964676</v>
      </c>
      <c r="M210">
        <v>208</v>
      </c>
      <c r="N210">
        <f t="shared" ca="1" si="17"/>
        <v>696</v>
      </c>
      <c r="O210">
        <f ca="1">SUM($N$2:N210)/M210</f>
        <v>180.99592787990872</v>
      </c>
    </row>
    <row r="211" spans="1:15" x14ac:dyDescent="0.2">
      <c r="A211">
        <v>209</v>
      </c>
      <c r="B211" s="11">
        <f t="shared" ca="1" si="14"/>
        <v>696</v>
      </c>
      <c r="C211">
        <f ca="1">SUM($B$2:B211)/A211</f>
        <v>180.19836893045581</v>
      </c>
      <c r="E211">
        <v>209</v>
      </c>
      <c r="F211" s="11">
        <f t="shared" ca="1" si="15"/>
        <v>696</v>
      </c>
      <c r="G211">
        <f ca="1">SUM($F$2:F211)/E211</f>
        <v>183.46006219627279</v>
      </c>
      <c r="I211">
        <v>209</v>
      </c>
      <c r="J211">
        <f t="shared" ca="1" si="16"/>
        <v>696</v>
      </c>
      <c r="K211">
        <f ca="1">SUM($J$2:J211)/I211</f>
        <v>180.19836893045581</v>
      </c>
      <c r="M211">
        <v>209</v>
      </c>
      <c r="N211">
        <f t="shared" ca="1" si="17"/>
        <v>696</v>
      </c>
      <c r="O211">
        <f ca="1">SUM($N$2:N211)/M211</f>
        <v>183.46006219627279</v>
      </c>
    </row>
    <row r="212" spans="1:15" x14ac:dyDescent="0.2">
      <c r="A212">
        <v>210</v>
      </c>
      <c r="B212" s="11">
        <f t="shared" ca="1" si="14"/>
        <v>696</v>
      </c>
      <c r="C212">
        <f ca="1">SUM($B$2:B212)/A212</f>
        <v>182.6545671736441</v>
      </c>
      <c r="E212">
        <v>210</v>
      </c>
      <c r="F212" s="11">
        <f t="shared" ca="1" si="15"/>
        <v>696</v>
      </c>
      <c r="G212">
        <f ca="1">SUM($F$2:F212)/E212</f>
        <v>185.90072856676673</v>
      </c>
      <c r="I212">
        <v>210</v>
      </c>
      <c r="J212">
        <f t="shared" ca="1" si="16"/>
        <v>696</v>
      </c>
      <c r="K212">
        <f ca="1">SUM($J$2:J212)/I212</f>
        <v>182.6545671736441</v>
      </c>
      <c r="M212">
        <v>210</v>
      </c>
      <c r="N212">
        <f t="shared" ca="1" si="17"/>
        <v>696</v>
      </c>
      <c r="O212">
        <f ca="1">SUM($N$2:N212)/M212</f>
        <v>185.90072856676673</v>
      </c>
    </row>
    <row r="213" spans="1:15" x14ac:dyDescent="0.2">
      <c r="A213">
        <v>211</v>
      </c>
      <c r="B213" s="11">
        <f t="shared" si="14"/>
        <v>0</v>
      </c>
      <c r="C213">
        <f ca="1">SUM($B$2:B213)/A213</f>
        <v>181.78890571784484</v>
      </c>
      <c r="E213">
        <v>211</v>
      </c>
      <c r="F213" s="11">
        <f t="shared" si="15"/>
        <v>0</v>
      </c>
      <c r="G213">
        <f ca="1">SUM($F$2:F213)/E213</f>
        <v>185.01968245981521</v>
      </c>
      <c r="I213">
        <v>211</v>
      </c>
      <c r="J213">
        <f t="shared" si="16"/>
        <v>0</v>
      </c>
      <c r="K213">
        <f ca="1">SUM($J$2:J213)/I213</f>
        <v>181.78890571784484</v>
      </c>
      <c r="M213">
        <v>211</v>
      </c>
      <c r="N213">
        <f t="shared" si="17"/>
        <v>0</v>
      </c>
      <c r="O213">
        <f ca="1">SUM($N$2:N213)/M213</f>
        <v>185.01968245981521</v>
      </c>
    </row>
    <row r="214" spans="1:15" x14ac:dyDescent="0.2">
      <c r="A214">
        <v>212</v>
      </c>
      <c r="B214" s="11">
        <f t="shared" si="14"/>
        <v>0</v>
      </c>
      <c r="C214">
        <f ca="1">SUM($B$2:B214)/A214</f>
        <v>180.93141087955314</v>
      </c>
      <c r="E214">
        <v>212</v>
      </c>
      <c r="F214" s="11">
        <f t="shared" si="15"/>
        <v>0</v>
      </c>
      <c r="G214">
        <f ca="1">SUM($F$2:F214)/E214</f>
        <v>184.14694810858967</v>
      </c>
      <c r="I214">
        <v>212</v>
      </c>
      <c r="J214">
        <f t="shared" si="16"/>
        <v>0</v>
      </c>
      <c r="K214">
        <f ca="1">SUM($J$2:J214)/I214</f>
        <v>180.93141087955314</v>
      </c>
      <c r="M214">
        <v>212</v>
      </c>
      <c r="N214">
        <f t="shared" si="17"/>
        <v>0</v>
      </c>
      <c r="O214">
        <f ca="1">SUM($N$2:N214)/M214</f>
        <v>184.14694810858967</v>
      </c>
    </row>
    <row r="215" spans="1:15" x14ac:dyDescent="0.2">
      <c r="A215">
        <v>213</v>
      </c>
      <c r="B215" s="11">
        <f t="shared" si="14"/>
        <v>0</v>
      </c>
      <c r="C215">
        <f ca="1">SUM($B$2:B215)/A215</f>
        <v>180.08196763598716</v>
      </c>
      <c r="E215">
        <v>213</v>
      </c>
      <c r="F215" s="11">
        <f t="shared" si="15"/>
        <v>0</v>
      </c>
      <c r="G215">
        <f ca="1">SUM($F$2:F215)/E215</f>
        <v>183.28240844610804</v>
      </c>
      <c r="I215">
        <v>213</v>
      </c>
      <c r="J215">
        <f t="shared" si="16"/>
        <v>0</v>
      </c>
      <c r="K215">
        <f ca="1">SUM($J$2:J215)/I215</f>
        <v>180.08196763598716</v>
      </c>
      <c r="M215">
        <v>213</v>
      </c>
      <c r="N215">
        <f t="shared" si="17"/>
        <v>0</v>
      </c>
      <c r="O215">
        <f ca="1">SUM($N$2:N215)/M215</f>
        <v>183.28240844610804</v>
      </c>
    </row>
    <row r="216" spans="1:15" x14ac:dyDescent="0.2">
      <c r="A216">
        <v>214</v>
      </c>
      <c r="B216" s="11">
        <f t="shared" si="14"/>
        <v>0</v>
      </c>
      <c r="C216">
        <f ca="1">SUM($B$2:B216)/A216</f>
        <v>179.24046311432366</v>
      </c>
      <c r="E216">
        <v>214</v>
      </c>
      <c r="F216" s="11">
        <f t="shared" si="15"/>
        <v>0</v>
      </c>
      <c r="G216">
        <f ca="1">SUM($F$2:F216)/E216</f>
        <v>182.42594859355611</v>
      </c>
      <c r="I216">
        <v>214</v>
      </c>
      <c r="J216">
        <f t="shared" si="16"/>
        <v>0</v>
      </c>
      <c r="K216">
        <f ca="1">SUM($J$2:J216)/I216</f>
        <v>179.24046311432366</v>
      </c>
      <c r="M216">
        <v>214</v>
      </c>
      <c r="N216">
        <f t="shared" si="17"/>
        <v>0</v>
      </c>
      <c r="O216">
        <f ca="1">SUM($N$2:N216)/M216</f>
        <v>182.42594859355611</v>
      </c>
    </row>
    <row r="217" spans="1:15" x14ac:dyDescent="0.2">
      <c r="A217">
        <v>215</v>
      </c>
      <c r="B217" s="11">
        <f t="shared" si="14"/>
        <v>0</v>
      </c>
      <c r="C217">
        <f ca="1">SUM($B$2:B217)/A217</f>
        <v>178.40678654169889</v>
      </c>
      <c r="E217">
        <v>215</v>
      </c>
      <c r="F217" s="11">
        <f t="shared" si="15"/>
        <v>0</v>
      </c>
      <c r="G217">
        <f ca="1">SUM($F$2:F217)/E217</f>
        <v>181.57745580940005</v>
      </c>
      <c r="I217">
        <v>215</v>
      </c>
      <c r="J217">
        <f t="shared" si="16"/>
        <v>0</v>
      </c>
      <c r="K217">
        <f ca="1">SUM($J$2:J217)/I217</f>
        <v>178.40678654169889</v>
      </c>
      <c r="M217">
        <v>215</v>
      </c>
      <c r="N217">
        <f t="shared" si="17"/>
        <v>0</v>
      </c>
      <c r="O217">
        <f ca="1">SUM($N$2:N217)/M217</f>
        <v>181.57745580940005</v>
      </c>
    </row>
    <row r="218" spans="1:15" x14ac:dyDescent="0.2">
      <c r="A218">
        <v>216</v>
      </c>
      <c r="B218" s="11">
        <f t="shared" si="14"/>
        <v>0</v>
      </c>
      <c r="C218">
        <f ca="1">SUM($B$2:B218)/A218</f>
        <v>177.58082919659844</v>
      </c>
      <c r="E218">
        <v>216</v>
      </c>
      <c r="F218" s="11">
        <f t="shared" si="15"/>
        <v>0</v>
      </c>
      <c r="G218">
        <f ca="1">SUM($F$2:F218)/E218</f>
        <v>180.7368194399121</v>
      </c>
      <c r="I218">
        <v>216</v>
      </c>
      <c r="J218">
        <f t="shared" si="16"/>
        <v>0</v>
      </c>
      <c r="K218">
        <f ca="1">SUM($J$2:J218)/I218</f>
        <v>177.58082919659844</v>
      </c>
      <c r="M218">
        <v>216</v>
      </c>
      <c r="N218">
        <f t="shared" si="17"/>
        <v>0</v>
      </c>
      <c r="O218">
        <f ca="1">SUM($N$2:N218)/M218</f>
        <v>180.7368194399121</v>
      </c>
    </row>
    <row r="219" spans="1:15" x14ac:dyDescent="0.2">
      <c r="A219">
        <v>217</v>
      </c>
      <c r="B219" s="11">
        <f t="shared" si="14"/>
        <v>0</v>
      </c>
      <c r="C219">
        <f ca="1">SUM($B$2:B219)/A219</f>
        <v>176.76248436159108</v>
      </c>
      <c r="E219">
        <v>217</v>
      </c>
      <c r="F219" s="11">
        <f t="shared" si="15"/>
        <v>0</v>
      </c>
      <c r="G219">
        <f ca="1">SUM($F$2:F219)/E219</f>
        <v>179.90393087106457</v>
      </c>
      <c r="I219">
        <v>217</v>
      </c>
      <c r="J219">
        <f t="shared" si="16"/>
        <v>0</v>
      </c>
      <c r="K219">
        <f ca="1">SUM($J$2:J219)/I219</f>
        <v>176.76248436159108</v>
      </c>
      <c r="M219">
        <v>217</v>
      </c>
      <c r="N219">
        <f t="shared" si="17"/>
        <v>0</v>
      </c>
      <c r="O219">
        <f ca="1">SUM($N$2:N219)/M219</f>
        <v>179.90393087106457</v>
      </c>
    </row>
    <row r="220" spans="1:15" x14ac:dyDescent="0.2">
      <c r="A220">
        <v>218</v>
      </c>
      <c r="B220" s="11">
        <f t="shared" si="14"/>
        <v>0</v>
      </c>
      <c r="C220">
        <f ca="1">SUM($B$2:B220)/A220</f>
        <v>175.95164727736361</v>
      </c>
      <c r="E220">
        <v>218</v>
      </c>
      <c r="F220" s="11">
        <f t="shared" si="15"/>
        <v>0</v>
      </c>
      <c r="G220">
        <f ca="1">SUM($F$2:F220)/E220</f>
        <v>179.07868348174776</v>
      </c>
      <c r="I220">
        <v>218</v>
      </c>
      <c r="J220">
        <f t="shared" si="16"/>
        <v>0</v>
      </c>
      <c r="K220">
        <f ca="1">SUM($J$2:J220)/I220</f>
        <v>175.95164727736361</v>
      </c>
      <c r="M220">
        <v>218</v>
      </c>
      <c r="N220">
        <f t="shared" si="17"/>
        <v>0</v>
      </c>
      <c r="O220">
        <f ca="1">SUM($N$2:N220)/M220</f>
        <v>179.07868348174776</v>
      </c>
    </row>
    <row r="221" spans="1:15" x14ac:dyDescent="0.2">
      <c r="A221">
        <v>219</v>
      </c>
      <c r="B221" s="11">
        <f t="shared" si="14"/>
        <v>0</v>
      </c>
      <c r="C221">
        <f ca="1">SUM($B$2:B221)/A221</f>
        <v>175.1482150980149</v>
      </c>
      <c r="E221">
        <v>219</v>
      </c>
      <c r="F221" s="11">
        <f t="shared" si="15"/>
        <v>0</v>
      </c>
      <c r="G221">
        <f ca="1">SUM($F$2:F221)/E221</f>
        <v>178.26097259826946</v>
      </c>
      <c r="I221">
        <v>219</v>
      </c>
      <c r="J221">
        <f t="shared" si="16"/>
        <v>0</v>
      </c>
      <c r="K221">
        <f ca="1">SUM($J$2:J221)/I221</f>
        <v>175.1482150980149</v>
      </c>
      <c r="M221">
        <v>219</v>
      </c>
      <c r="N221">
        <f t="shared" si="17"/>
        <v>0</v>
      </c>
      <c r="O221">
        <f ca="1">SUM($N$2:N221)/M221</f>
        <v>178.26097259826946</v>
      </c>
    </row>
    <row r="222" spans="1:15" x14ac:dyDescent="0.2">
      <c r="A222">
        <v>220</v>
      </c>
      <c r="B222" s="11">
        <f t="shared" si="14"/>
        <v>0</v>
      </c>
      <c r="C222">
        <f ca="1">SUM($B$2:B222)/A222</f>
        <v>174.35208684756938</v>
      </c>
      <c r="E222">
        <v>220</v>
      </c>
      <c r="F222" s="11">
        <f t="shared" si="15"/>
        <v>0</v>
      </c>
      <c r="G222">
        <f ca="1">SUM($F$2:F222)/E222</f>
        <v>177.45069545009551</v>
      </c>
      <c r="I222">
        <v>220</v>
      </c>
      <c r="J222">
        <f t="shared" si="16"/>
        <v>0</v>
      </c>
      <c r="K222">
        <f ca="1">SUM($J$2:J222)/I222</f>
        <v>174.35208684756938</v>
      </c>
      <c r="M222">
        <v>220</v>
      </c>
      <c r="N222">
        <f t="shared" si="17"/>
        <v>0</v>
      </c>
      <c r="O222">
        <f ca="1">SUM($N$2:N222)/M222</f>
        <v>177.45069545009551</v>
      </c>
    </row>
    <row r="223" spans="1:15" x14ac:dyDescent="0.2">
      <c r="A223">
        <v>221</v>
      </c>
      <c r="B223" s="11">
        <f t="shared" si="14"/>
        <v>0</v>
      </c>
      <c r="C223">
        <f ca="1">SUM($B$2:B223)/A223</f>
        <v>173.56316337767086</v>
      </c>
      <c r="E223">
        <v>221</v>
      </c>
      <c r="F223" s="11">
        <f t="shared" si="15"/>
        <v>0</v>
      </c>
      <c r="G223">
        <f ca="1">SUM($F$2:F223)/E223</f>
        <v>176.64775112679192</v>
      </c>
      <c r="I223">
        <v>221</v>
      </c>
      <c r="J223">
        <f t="shared" si="16"/>
        <v>0</v>
      </c>
      <c r="K223">
        <f ca="1">SUM($J$2:J223)/I223</f>
        <v>173.56316337767086</v>
      </c>
      <c r="M223">
        <v>221</v>
      </c>
      <c r="N223">
        <f t="shared" si="17"/>
        <v>0</v>
      </c>
      <c r="O223">
        <f ca="1">SUM($N$2:N223)/M223</f>
        <v>176.64775112679192</v>
      </c>
    </row>
    <row r="224" spans="1:15" x14ac:dyDescent="0.2">
      <c r="A224">
        <v>222</v>
      </c>
      <c r="B224" s="11">
        <f t="shared" si="14"/>
        <v>0</v>
      </c>
      <c r="C224">
        <f ca="1">SUM($B$2:B224)/A224</f>
        <v>172.7813473264201</v>
      </c>
      <c r="E224">
        <v>222</v>
      </c>
      <c r="F224" s="11">
        <f t="shared" si="15"/>
        <v>0</v>
      </c>
      <c r="G224">
        <f ca="1">SUM($F$2:F224)/E224</f>
        <v>175.85204053613069</v>
      </c>
      <c r="I224">
        <v>222</v>
      </c>
      <c r="J224">
        <f t="shared" si="16"/>
        <v>0</v>
      </c>
      <c r="K224">
        <f ca="1">SUM($J$2:J224)/I224</f>
        <v>172.7813473264201</v>
      </c>
      <c r="M224">
        <v>222</v>
      </c>
      <c r="N224">
        <f t="shared" si="17"/>
        <v>0</v>
      </c>
      <c r="O224">
        <f ca="1">SUM($N$2:N224)/M224</f>
        <v>175.85204053613069</v>
      </c>
    </row>
    <row r="225" spans="1:15" x14ac:dyDescent="0.2">
      <c r="A225">
        <v>223</v>
      </c>
      <c r="B225" s="11">
        <f t="shared" si="14"/>
        <v>0</v>
      </c>
      <c r="C225">
        <f ca="1">SUM($B$2:B225)/A225</f>
        <v>172.00654307831957</v>
      </c>
      <c r="E225">
        <v>223</v>
      </c>
      <c r="F225" s="11">
        <f t="shared" si="15"/>
        <v>0</v>
      </c>
      <c r="G225">
        <f ca="1">SUM($F$2:F225)/E225</f>
        <v>175.06346636332293</v>
      </c>
      <c r="I225">
        <v>223</v>
      </c>
      <c r="J225">
        <f t="shared" si="16"/>
        <v>0</v>
      </c>
      <c r="K225">
        <f ca="1">SUM($J$2:J225)/I225</f>
        <v>172.00654307831957</v>
      </c>
      <c r="M225">
        <v>223</v>
      </c>
      <c r="N225">
        <f t="shared" si="17"/>
        <v>0</v>
      </c>
      <c r="O225">
        <f ca="1">SUM($N$2:N225)/M225</f>
        <v>175.06346636332293</v>
      </c>
    </row>
    <row r="226" spans="1:15" x14ac:dyDescent="0.2">
      <c r="A226">
        <v>224</v>
      </c>
      <c r="B226" s="11">
        <f t="shared" si="14"/>
        <v>0</v>
      </c>
      <c r="C226">
        <f ca="1">SUM($B$2:B226)/A226</f>
        <v>171.23865672529135</v>
      </c>
      <c r="E226">
        <v>224</v>
      </c>
      <c r="F226" s="11">
        <f t="shared" si="15"/>
        <v>0</v>
      </c>
      <c r="G226">
        <f ca="1">SUM($F$2:F226)/E226</f>
        <v>174.28193303134381</v>
      </c>
      <c r="I226">
        <v>224</v>
      </c>
      <c r="J226">
        <f t="shared" si="16"/>
        <v>0</v>
      </c>
      <c r="K226">
        <f ca="1">SUM($J$2:J226)/I226</f>
        <v>171.23865672529135</v>
      </c>
      <c r="M226">
        <v>224</v>
      </c>
      <c r="N226">
        <f t="shared" si="17"/>
        <v>0</v>
      </c>
      <c r="O226">
        <f ca="1">SUM($N$2:N226)/M226</f>
        <v>174.28193303134381</v>
      </c>
    </row>
    <row r="227" spans="1:15" x14ac:dyDescent="0.2">
      <c r="A227">
        <v>225</v>
      </c>
      <c r="B227" s="11">
        <f t="shared" si="14"/>
        <v>0</v>
      </c>
      <c r="C227">
        <f ca="1">SUM($B$2:B227)/A227</f>
        <v>170.4775960287345</v>
      </c>
      <c r="E227">
        <v>225</v>
      </c>
      <c r="F227" s="11">
        <f t="shared" si="15"/>
        <v>0</v>
      </c>
      <c r="G227">
        <f ca="1">SUM($F$2:F227)/E227</f>
        <v>173.5073466623156</v>
      </c>
      <c r="I227">
        <v>225</v>
      </c>
      <c r="J227">
        <f t="shared" si="16"/>
        <v>0</v>
      </c>
      <c r="K227">
        <f ca="1">SUM($J$2:J227)/I227</f>
        <v>170.4775960287345</v>
      </c>
      <c r="M227">
        <v>225</v>
      </c>
      <c r="N227">
        <f t="shared" si="17"/>
        <v>0</v>
      </c>
      <c r="O227">
        <f ca="1">SUM($N$2:N227)/M227</f>
        <v>173.5073466623156</v>
      </c>
    </row>
    <row r="228" spans="1:15" x14ac:dyDescent="0.2">
      <c r="A228">
        <v>226</v>
      </c>
      <c r="B228" s="11">
        <f t="shared" si="14"/>
        <v>0</v>
      </c>
      <c r="C228">
        <f ca="1">SUM($B$2:B228)/A228</f>
        <v>169.72327038258965</v>
      </c>
      <c r="E228">
        <v>226</v>
      </c>
      <c r="F228" s="11">
        <f t="shared" si="15"/>
        <v>0</v>
      </c>
      <c r="G228">
        <f ca="1">SUM($F$2:F228)/E228</f>
        <v>172.73961503991598</v>
      </c>
      <c r="I228">
        <v>226</v>
      </c>
      <c r="J228">
        <f t="shared" si="16"/>
        <v>0</v>
      </c>
      <c r="K228">
        <f ca="1">SUM($J$2:J228)/I228</f>
        <v>169.72327038258965</v>
      </c>
      <c r="M228">
        <v>226</v>
      </c>
      <c r="N228">
        <f t="shared" si="17"/>
        <v>0</v>
      </c>
      <c r="O228">
        <f ca="1">SUM($N$2:N228)/M228</f>
        <v>172.73961503991598</v>
      </c>
    </row>
    <row r="229" spans="1:15" x14ac:dyDescent="0.2">
      <c r="A229">
        <v>227</v>
      </c>
      <c r="B229" s="11">
        <f t="shared" si="14"/>
        <v>0</v>
      </c>
      <c r="C229">
        <f ca="1">SUM($B$2:B229)/A229</f>
        <v>168.97559077738001</v>
      </c>
      <c r="E229">
        <v>227</v>
      </c>
      <c r="F229" s="11">
        <f t="shared" si="15"/>
        <v>0</v>
      </c>
      <c r="G229">
        <f ca="1">SUM($F$2:F229)/E229</f>
        <v>171.97864757277978</v>
      </c>
      <c r="I229">
        <v>227</v>
      </c>
      <c r="J229">
        <f t="shared" si="16"/>
        <v>0</v>
      </c>
      <c r="K229">
        <f ca="1">SUM($J$2:J229)/I229</f>
        <v>168.97559077738001</v>
      </c>
      <c r="M229">
        <v>227</v>
      </c>
      <c r="N229">
        <f t="shared" si="17"/>
        <v>0</v>
      </c>
      <c r="O229">
        <f ca="1">SUM($N$2:N229)/M229</f>
        <v>171.97864757277978</v>
      </c>
    </row>
    <row r="230" spans="1:15" x14ac:dyDescent="0.2">
      <c r="A230">
        <v>228</v>
      </c>
      <c r="B230" s="11">
        <f t="shared" si="14"/>
        <v>0</v>
      </c>
      <c r="C230">
        <f ca="1">SUM($B$2:B230)/A230</f>
        <v>168.23446976519853</v>
      </c>
      <c r="E230">
        <v>228</v>
      </c>
      <c r="F230" s="11">
        <f t="shared" si="15"/>
        <v>0</v>
      </c>
      <c r="G230">
        <f ca="1">SUM($F$2:F230)/E230</f>
        <v>171.22435525886408</v>
      </c>
      <c r="I230">
        <v>228</v>
      </c>
      <c r="J230">
        <f t="shared" si="16"/>
        <v>0</v>
      </c>
      <c r="K230">
        <f ca="1">SUM($J$2:J230)/I230</f>
        <v>168.23446976519853</v>
      </c>
      <c r="M230">
        <v>228</v>
      </c>
      <c r="N230">
        <f t="shared" si="17"/>
        <v>0</v>
      </c>
      <c r="O230">
        <f ca="1">SUM($N$2:N230)/M230</f>
        <v>171.22435525886408</v>
      </c>
    </row>
    <row r="231" spans="1:15" x14ac:dyDescent="0.2">
      <c r="A231">
        <v>229</v>
      </c>
      <c r="B231" s="11">
        <f t="shared" si="14"/>
        <v>0</v>
      </c>
      <c r="C231">
        <f ca="1">SUM($B$2:B231)/A231</f>
        <v>167.49982142561251</v>
      </c>
      <c r="E231">
        <v>229</v>
      </c>
      <c r="F231" s="11">
        <f t="shared" si="15"/>
        <v>0</v>
      </c>
      <c r="G231">
        <f ca="1">SUM($F$2:F231)/E231</f>
        <v>170.47665065074676</v>
      </c>
      <c r="I231">
        <v>229</v>
      </c>
      <c r="J231">
        <f t="shared" si="16"/>
        <v>0</v>
      </c>
      <c r="K231">
        <f ca="1">SUM($J$2:J231)/I231</f>
        <v>167.49982142561251</v>
      </c>
      <c r="M231">
        <v>229</v>
      </c>
      <c r="N231">
        <f t="shared" si="17"/>
        <v>0</v>
      </c>
      <c r="O231">
        <f ca="1">SUM($N$2:N231)/M231</f>
        <v>170.47665065074676</v>
      </c>
    </row>
    <row r="232" spans="1:15" x14ac:dyDescent="0.2">
      <c r="A232">
        <v>230</v>
      </c>
      <c r="B232" s="11">
        <f t="shared" si="14"/>
        <v>0</v>
      </c>
      <c r="C232">
        <f ca="1">SUM($B$2:B232)/A232</f>
        <v>166.77156133245768</v>
      </c>
      <c r="E232">
        <v>230</v>
      </c>
      <c r="F232" s="11">
        <f t="shared" si="15"/>
        <v>0</v>
      </c>
      <c r="G232">
        <f ca="1">SUM($F$2:F232)/E232</f>
        <v>169.73544782183049</v>
      </c>
      <c r="I232">
        <v>230</v>
      </c>
      <c r="J232">
        <f t="shared" si="16"/>
        <v>0</v>
      </c>
      <c r="K232">
        <f ca="1">SUM($J$2:J232)/I232</f>
        <v>166.77156133245768</v>
      </c>
      <c r="M232">
        <v>230</v>
      </c>
      <c r="N232">
        <f t="shared" si="17"/>
        <v>0</v>
      </c>
      <c r="O232">
        <f ca="1">SUM($N$2:N232)/M232</f>
        <v>169.73544782183049</v>
      </c>
    </row>
    <row r="233" spans="1:15" x14ac:dyDescent="0.2">
      <c r="A233">
        <v>231</v>
      </c>
      <c r="B233" s="11">
        <f t="shared" si="14"/>
        <v>0</v>
      </c>
      <c r="C233">
        <f ca="1">SUM($B$2:B233)/A233</f>
        <v>166.04960652149464</v>
      </c>
      <c r="E233">
        <v>231</v>
      </c>
      <c r="F233" s="11">
        <f t="shared" si="15"/>
        <v>0</v>
      </c>
      <c r="G233">
        <f ca="1">SUM($F$2:F233)/E233</f>
        <v>169.00066233342429</v>
      </c>
      <c r="I233">
        <v>231</v>
      </c>
      <c r="J233">
        <f t="shared" si="16"/>
        <v>0</v>
      </c>
      <c r="K233">
        <f ca="1">SUM($J$2:J233)/I233</f>
        <v>166.04960652149464</v>
      </c>
      <c r="M233">
        <v>231</v>
      </c>
      <c r="N233">
        <f t="shared" si="17"/>
        <v>0</v>
      </c>
      <c r="O233">
        <f ca="1">SUM($N$2:N233)/M233</f>
        <v>169.00066233342429</v>
      </c>
    </row>
    <row r="234" spans="1:15" x14ac:dyDescent="0.2">
      <c r="A234">
        <v>232</v>
      </c>
      <c r="B234" s="11">
        <f t="shared" si="14"/>
        <v>0</v>
      </c>
      <c r="C234">
        <f ca="1">SUM($B$2:B234)/A234</f>
        <v>165.33387545890199</v>
      </c>
      <c r="E234">
        <v>232</v>
      </c>
      <c r="F234" s="11">
        <f t="shared" si="15"/>
        <v>0</v>
      </c>
      <c r="G234">
        <f ca="1">SUM($F$2:F234)/E234</f>
        <v>168.27221120267677</v>
      </c>
      <c r="I234">
        <v>232</v>
      </c>
      <c r="J234">
        <f t="shared" si="16"/>
        <v>0</v>
      </c>
      <c r="K234">
        <f ca="1">SUM($J$2:J234)/I234</f>
        <v>165.33387545890199</v>
      </c>
      <c r="M234">
        <v>232</v>
      </c>
      <c r="N234">
        <f t="shared" si="17"/>
        <v>0</v>
      </c>
      <c r="O234">
        <f ca="1">SUM($N$2:N234)/M234</f>
        <v>168.27221120267677</v>
      </c>
    </row>
    <row r="235" spans="1:15" x14ac:dyDescent="0.2">
      <c r="A235">
        <v>233</v>
      </c>
      <c r="B235" s="11">
        <f t="shared" si="14"/>
        <v>0</v>
      </c>
      <c r="C235">
        <f ca="1">SUM($B$2:B235)/A235</f>
        <v>164.62428801058053</v>
      </c>
      <c r="E235">
        <v>233</v>
      </c>
      <c r="F235" s="11">
        <f t="shared" si="15"/>
        <v>0</v>
      </c>
      <c r="G235">
        <f ca="1">SUM($F$2:F235)/E235</f>
        <v>167.55001287133481</v>
      </c>
      <c r="I235">
        <v>233</v>
      </c>
      <c r="J235">
        <f t="shared" si="16"/>
        <v>0</v>
      </c>
      <c r="K235">
        <f ca="1">SUM($J$2:J235)/I235</f>
        <v>164.62428801058053</v>
      </c>
      <c r="M235">
        <v>233</v>
      </c>
      <c r="N235">
        <f t="shared" si="17"/>
        <v>0</v>
      </c>
      <c r="O235">
        <f ca="1">SUM($N$2:N235)/M235</f>
        <v>167.55001287133481</v>
      </c>
    </row>
    <row r="236" spans="1:15" x14ac:dyDescent="0.2">
      <c r="A236">
        <v>234</v>
      </c>
      <c r="B236" s="11">
        <f t="shared" si="14"/>
        <v>0</v>
      </c>
      <c r="C236">
        <f ca="1">SUM($B$2:B236)/A236</f>
        <v>163.92076541224472</v>
      </c>
      <c r="E236">
        <v>234</v>
      </c>
      <c r="F236" s="11">
        <f t="shared" si="15"/>
        <v>0</v>
      </c>
      <c r="G236">
        <f ca="1">SUM($F$2:F236)/E236</f>
        <v>166.83398717530346</v>
      </c>
      <c r="I236">
        <v>234</v>
      </c>
      <c r="J236">
        <f t="shared" si="16"/>
        <v>0</v>
      </c>
      <c r="K236">
        <f ca="1">SUM($J$2:J236)/I236</f>
        <v>163.92076541224472</v>
      </c>
      <c r="M236">
        <v>234</v>
      </c>
      <c r="N236">
        <f t="shared" si="17"/>
        <v>0</v>
      </c>
      <c r="O236">
        <f ca="1">SUM($N$2:N236)/M236</f>
        <v>166.83398717530346</v>
      </c>
    </row>
    <row r="237" spans="1:15" x14ac:dyDescent="0.2">
      <c r="A237">
        <v>235</v>
      </c>
      <c r="B237" s="11">
        <f t="shared" si="14"/>
        <v>0</v>
      </c>
      <c r="C237">
        <f ca="1">SUM($B$2:B237)/A237</f>
        <v>163.22323024027773</v>
      </c>
      <c r="E237">
        <v>235</v>
      </c>
      <c r="F237" s="11">
        <f t="shared" si="15"/>
        <v>0</v>
      </c>
      <c r="G237">
        <f ca="1">SUM($F$2:F237)/E237</f>
        <v>166.12405531498302</v>
      </c>
      <c r="I237">
        <v>235</v>
      </c>
      <c r="J237">
        <f t="shared" si="16"/>
        <v>0</v>
      </c>
      <c r="K237">
        <f ca="1">SUM($J$2:J237)/I237</f>
        <v>163.22323024027773</v>
      </c>
      <c r="M237">
        <v>235</v>
      </c>
      <c r="N237">
        <f t="shared" si="17"/>
        <v>0</v>
      </c>
      <c r="O237">
        <f ca="1">SUM($N$2:N237)/M237</f>
        <v>166.12405531498302</v>
      </c>
    </row>
    <row r="238" spans="1:15" x14ac:dyDescent="0.2">
      <c r="A238">
        <v>236</v>
      </c>
      <c r="B238" s="11">
        <f t="shared" si="14"/>
        <v>0</v>
      </c>
      <c r="C238">
        <f ca="1">SUM($B$2:B238)/A238</f>
        <v>162.53160638332739</v>
      </c>
      <c r="E238">
        <v>236</v>
      </c>
      <c r="F238" s="11">
        <f t="shared" si="15"/>
        <v>0</v>
      </c>
      <c r="G238">
        <f ca="1">SUM($F$2:F238)/E238</f>
        <v>165.42013982636021</v>
      </c>
      <c r="I238">
        <v>236</v>
      </c>
      <c r="J238">
        <f t="shared" si="16"/>
        <v>0</v>
      </c>
      <c r="K238">
        <f ca="1">SUM($J$2:J238)/I238</f>
        <v>162.53160638332739</v>
      </c>
      <c r="M238">
        <v>236</v>
      </c>
      <c r="N238">
        <f t="shared" si="17"/>
        <v>0</v>
      </c>
      <c r="O238">
        <f ca="1">SUM($N$2:N238)/M238</f>
        <v>165.42013982636021</v>
      </c>
    </row>
    <row r="239" spans="1:15" x14ac:dyDescent="0.2">
      <c r="A239">
        <v>237</v>
      </c>
      <c r="B239" s="11">
        <f t="shared" si="14"/>
        <v>0</v>
      </c>
      <c r="C239">
        <f ca="1">SUM($B$2:B239)/A239</f>
        <v>161.84581901462136</v>
      </c>
      <c r="E239">
        <v>237</v>
      </c>
      <c r="F239" s="11">
        <f t="shared" si="15"/>
        <v>0</v>
      </c>
      <c r="G239">
        <f ca="1">SUM($F$2:F239)/E239</f>
        <v>164.72216455283126</v>
      </c>
      <c r="I239">
        <v>237</v>
      </c>
      <c r="J239">
        <f t="shared" si="16"/>
        <v>0</v>
      </c>
      <c r="K239">
        <f ca="1">SUM($J$2:J239)/I239</f>
        <v>161.84581901462136</v>
      </c>
      <c r="M239">
        <v>237</v>
      </c>
      <c r="N239">
        <f t="shared" si="17"/>
        <v>0</v>
      </c>
      <c r="O239">
        <f ca="1">SUM($N$2:N239)/M239</f>
        <v>164.72216455283126</v>
      </c>
    </row>
    <row r="240" spans="1:15" x14ac:dyDescent="0.2">
      <c r="A240">
        <v>238</v>
      </c>
      <c r="B240" s="11">
        <f t="shared" si="14"/>
        <v>0</v>
      </c>
      <c r="C240">
        <f ca="1">SUM($B$2:B240)/A240</f>
        <v>161.1657945649801</v>
      </c>
      <c r="E240">
        <v>238</v>
      </c>
      <c r="F240" s="11">
        <f t="shared" si="15"/>
        <v>0</v>
      </c>
      <c r="G240">
        <f ca="1">SUM($F$2:F240)/E240</f>
        <v>164.03005461773535</v>
      </c>
      <c r="I240">
        <v>238</v>
      </c>
      <c r="J240">
        <f t="shared" si="16"/>
        <v>0</v>
      </c>
      <c r="K240">
        <f ca="1">SUM($J$2:J240)/I240</f>
        <v>161.1657945649801</v>
      </c>
      <c r="M240">
        <v>238</v>
      </c>
      <c r="N240">
        <f t="shared" si="17"/>
        <v>0</v>
      </c>
      <c r="O240">
        <f ca="1">SUM($N$2:N240)/M240</f>
        <v>164.03005461773535</v>
      </c>
    </row>
    <row r="241" spans="1:15" x14ac:dyDescent="0.2">
      <c r="A241">
        <v>239</v>
      </c>
      <c r="B241" s="11">
        <f t="shared" si="14"/>
        <v>0</v>
      </c>
      <c r="C241">
        <f ca="1">SUM($B$2:B241)/A241</f>
        <v>160.49146069650737</v>
      </c>
      <c r="E241">
        <v>239</v>
      </c>
      <c r="F241" s="11">
        <f t="shared" si="15"/>
        <v>0</v>
      </c>
      <c r="G241">
        <f ca="1">SUM($F$2:F241)/E241</f>
        <v>163.34373639757746</v>
      </c>
      <c r="I241">
        <v>239</v>
      </c>
      <c r="J241">
        <f t="shared" si="16"/>
        <v>0</v>
      </c>
      <c r="K241">
        <f ca="1">SUM($J$2:J241)/I241</f>
        <v>160.49146069650737</v>
      </c>
      <c r="M241">
        <v>239</v>
      </c>
      <c r="N241">
        <f t="shared" si="17"/>
        <v>0</v>
      </c>
      <c r="O241">
        <f ca="1">SUM($N$2:N241)/M241</f>
        <v>163.34373639757746</v>
      </c>
    </row>
    <row r="242" spans="1:15" x14ac:dyDescent="0.2">
      <c r="A242">
        <v>240</v>
      </c>
      <c r="B242" s="11">
        <f t="shared" si="14"/>
        <v>0</v>
      </c>
      <c r="C242">
        <f ca="1">SUM($B$2:B242)/A242</f>
        <v>159.8227462769386</v>
      </c>
      <c r="E242">
        <v>240</v>
      </c>
      <c r="F242" s="11">
        <f t="shared" si="15"/>
        <v>0</v>
      </c>
      <c r="G242">
        <f ca="1">SUM($F$2:F242)/E242</f>
        <v>162.66313749592089</v>
      </c>
      <c r="I242">
        <v>240</v>
      </c>
      <c r="J242">
        <f t="shared" si="16"/>
        <v>0</v>
      </c>
      <c r="K242">
        <f ca="1">SUM($J$2:J242)/I242</f>
        <v>159.8227462769386</v>
      </c>
      <c r="M242">
        <v>240</v>
      </c>
      <c r="N242">
        <f t="shared" si="17"/>
        <v>0</v>
      </c>
      <c r="O242">
        <f ca="1">SUM($N$2:N242)/M242</f>
        <v>162.66313749592089</v>
      </c>
    </row>
    <row r="243" spans="1:15" x14ac:dyDescent="0.2">
      <c r="A243">
        <v>241</v>
      </c>
      <c r="B243" s="11">
        <f t="shared" si="14"/>
        <v>0</v>
      </c>
      <c r="C243">
        <f ca="1">SUM($B$2:B243)/A243</f>
        <v>159.15958135462765</v>
      </c>
      <c r="E243">
        <v>241</v>
      </c>
      <c r="F243" s="11">
        <f t="shared" si="15"/>
        <v>0</v>
      </c>
      <c r="G243">
        <f ca="1">SUM($F$2:F243)/E243</f>
        <v>161.98818671792949</v>
      </c>
      <c r="I243">
        <v>241</v>
      </c>
      <c r="J243">
        <f t="shared" si="16"/>
        <v>0</v>
      </c>
      <c r="K243">
        <f ca="1">SUM($J$2:J243)/I243</f>
        <v>159.15958135462765</v>
      </c>
      <c r="M243">
        <v>241</v>
      </c>
      <c r="N243">
        <f t="shared" si="17"/>
        <v>0</v>
      </c>
      <c r="O243">
        <f ca="1">SUM($N$2:N243)/M243</f>
        <v>161.98818671792949</v>
      </c>
    </row>
    <row r="244" spans="1:15" x14ac:dyDescent="0.2">
      <c r="A244">
        <v>242</v>
      </c>
      <c r="B244" s="11">
        <f t="shared" si="14"/>
        <v>0</v>
      </c>
      <c r="C244">
        <f ca="1">SUM($B$2:B244)/A244</f>
        <v>158.50189713415398</v>
      </c>
      <c r="E244">
        <v>242</v>
      </c>
      <c r="F244" s="11">
        <f t="shared" si="15"/>
        <v>0</v>
      </c>
      <c r="G244">
        <f ca="1">SUM($F$2:F244)/E244</f>
        <v>161.31881404554136</v>
      </c>
      <c r="I244">
        <v>242</v>
      </c>
      <c r="J244">
        <f t="shared" si="16"/>
        <v>0</v>
      </c>
      <c r="K244">
        <f ca="1">SUM($J$2:J244)/I244</f>
        <v>158.50189713415398</v>
      </c>
      <c r="M244">
        <v>242</v>
      </c>
      <c r="N244">
        <f t="shared" si="17"/>
        <v>0</v>
      </c>
      <c r="O244">
        <f ca="1">SUM($N$2:N244)/M244</f>
        <v>161.31881404554136</v>
      </c>
    </row>
    <row r="245" spans="1:15" x14ac:dyDescent="0.2">
      <c r="A245">
        <v>243</v>
      </c>
      <c r="B245" s="11">
        <f t="shared" si="14"/>
        <v>0</v>
      </c>
      <c r="C245">
        <f ca="1">SUM($B$2:B245)/A245</f>
        <v>157.84962595253194</v>
      </c>
      <c r="E245">
        <v>243</v>
      </c>
      <c r="F245" s="11">
        <f t="shared" si="15"/>
        <v>0</v>
      </c>
      <c r="G245">
        <f ca="1">SUM($F$2:F245)/E245</f>
        <v>160.65495061325518</v>
      </c>
      <c r="I245">
        <v>243</v>
      </c>
      <c r="J245">
        <f t="shared" si="16"/>
        <v>0</v>
      </c>
      <c r="K245">
        <f ca="1">SUM($J$2:J245)/I245</f>
        <v>157.84962595253194</v>
      </c>
      <c r="M245">
        <v>243</v>
      </c>
      <c r="N245">
        <f t="shared" si="17"/>
        <v>0</v>
      </c>
      <c r="O245">
        <f ca="1">SUM($N$2:N245)/M245</f>
        <v>160.65495061325518</v>
      </c>
    </row>
    <row r="246" spans="1:15" x14ac:dyDescent="0.2">
      <c r="A246">
        <v>244</v>
      </c>
      <c r="B246" s="11">
        <f t="shared" si="14"/>
        <v>0</v>
      </c>
      <c r="C246">
        <f ca="1">SUM($B$2:B246)/A246</f>
        <v>157.20270125600518</v>
      </c>
      <c r="E246">
        <v>244</v>
      </c>
      <c r="F246" s="11">
        <f t="shared" si="15"/>
        <v>0</v>
      </c>
      <c r="G246">
        <f ca="1">SUM($F$2:F246)/E246</f>
        <v>159.99652868451233</v>
      </c>
      <c r="I246">
        <v>244</v>
      </c>
      <c r="J246">
        <f t="shared" si="16"/>
        <v>0</v>
      </c>
      <c r="K246">
        <f ca="1">SUM($J$2:J246)/I246</f>
        <v>157.20270125600518</v>
      </c>
      <c r="M246">
        <v>244</v>
      </c>
      <c r="N246">
        <f t="shared" si="17"/>
        <v>0</v>
      </c>
      <c r="O246">
        <f ca="1">SUM($N$2:N246)/M246</f>
        <v>159.99652868451233</v>
      </c>
    </row>
    <row r="247" spans="1:15" x14ac:dyDescent="0.2">
      <c r="A247">
        <v>245</v>
      </c>
      <c r="B247" s="11">
        <f t="shared" si="14"/>
        <v>0</v>
      </c>
      <c r="C247">
        <f ca="1">SUM($B$2:B247)/A247</f>
        <v>156.56105757740923</v>
      </c>
      <c r="E247">
        <v>245</v>
      </c>
      <c r="F247" s="11">
        <f t="shared" si="15"/>
        <v>0</v>
      </c>
      <c r="G247">
        <f ca="1">SUM($F$2:F247)/E247</f>
        <v>159.3434816286572</v>
      </c>
      <c r="I247">
        <v>245</v>
      </c>
      <c r="J247">
        <f t="shared" si="16"/>
        <v>0</v>
      </c>
      <c r="K247">
        <f ca="1">SUM($J$2:J247)/I247</f>
        <v>156.56105757740923</v>
      </c>
      <c r="M247">
        <v>245</v>
      </c>
      <c r="N247">
        <f t="shared" si="17"/>
        <v>0</v>
      </c>
      <c r="O247">
        <f ca="1">SUM($N$2:N247)/M247</f>
        <v>159.3434816286572</v>
      </c>
    </row>
    <row r="248" spans="1:15" x14ac:dyDescent="0.2">
      <c r="A248">
        <v>246</v>
      </c>
      <c r="B248" s="11">
        <f t="shared" si="14"/>
        <v>0</v>
      </c>
      <c r="C248">
        <f ca="1">SUM($B$2:B248)/A248</f>
        <v>155.92463051408643</v>
      </c>
      <c r="E248">
        <v>246</v>
      </c>
      <c r="F248" s="11">
        <f t="shared" si="15"/>
        <v>0</v>
      </c>
      <c r="G248">
        <f ca="1">SUM($F$2:F248)/E248</f>
        <v>158.6957438984594</v>
      </c>
      <c r="I248">
        <v>246</v>
      </c>
      <c r="J248">
        <f t="shared" si="16"/>
        <v>0</v>
      </c>
      <c r="K248">
        <f ca="1">SUM($J$2:J248)/I248</f>
        <v>155.92463051408643</v>
      </c>
      <c r="M248">
        <v>246</v>
      </c>
      <c r="N248">
        <f t="shared" si="17"/>
        <v>0</v>
      </c>
      <c r="O248">
        <f ca="1">SUM($N$2:N248)/M248</f>
        <v>158.6957438984594</v>
      </c>
    </row>
    <row r="249" spans="1:15" x14ac:dyDescent="0.2">
      <c r="A249">
        <v>247</v>
      </c>
      <c r="B249" s="11">
        <f t="shared" si="14"/>
        <v>0</v>
      </c>
      <c r="C249">
        <f ca="1">SUM($B$2:B249)/A249</f>
        <v>155.29335670633711</v>
      </c>
      <c r="E249">
        <v>247</v>
      </c>
      <c r="F249" s="11">
        <f t="shared" si="15"/>
        <v>0</v>
      </c>
      <c r="G249">
        <f ca="1">SUM($F$2:F249)/E249</f>
        <v>158.05325100818223</v>
      </c>
      <c r="I249">
        <v>247</v>
      </c>
      <c r="J249">
        <f t="shared" si="16"/>
        <v>0</v>
      </c>
      <c r="K249">
        <f ca="1">SUM($J$2:J249)/I249</f>
        <v>155.29335670633711</v>
      </c>
      <c r="M249">
        <v>247</v>
      </c>
      <c r="N249">
        <f t="shared" si="17"/>
        <v>0</v>
      </c>
      <c r="O249">
        <f ca="1">SUM($N$2:N249)/M249</f>
        <v>158.05325100818223</v>
      </c>
    </row>
    <row r="250" spans="1:15" x14ac:dyDescent="0.2">
      <c r="A250">
        <v>248</v>
      </c>
      <c r="B250" s="11">
        <f t="shared" si="14"/>
        <v>0</v>
      </c>
      <c r="C250">
        <f ca="1">SUM($B$2:B250)/A250</f>
        <v>154.66717381639219</v>
      </c>
      <c r="E250">
        <v>248</v>
      </c>
      <c r="F250" s="11">
        <f t="shared" si="15"/>
        <v>0</v>
      </c>
      <c r="G250">
        <f ca="1">SUM($F$2:F250)/E250</f>
        <v>157.4159395121815</v>
      </c>
      <c r="I250">
        <v>248</v>
      </c>
      <c r="J250">
        <f t="shared" si="16"/>
        <v>0</v>
      </c>
      <c r="K250">
        <f ca="1">SUM($J$2:J250)/I250</f>
        <v>154.66717381639219</v>
      </c>
      <c r="M250">
        <v>248</v>
      </c>
      <c r="N250">
        <f t="shared" si="17"/>
        <v>0</v>
      </c>
      <c r="O250">
        <f ca="1">SUM($N$2:N250)/M250</f>
        <v>157.4159395121815</v>
      </c>
    </row>
    <row r="251" spans="1:15" x14ac:dyDescent="0.2">
      <c r="A251">
        <v>249</v>
      </c>
      <c r="B251" s="11">
        <f t="shared" si="14"/>
        <v>0</v>
      </c>
      <c r="C251">
        <f ca="1">SUM($B$2:B251)/A251</f>
        <v>154.04602050789262</v>
      </c>
      <c r="E251">
        <v>249</v>
      </c>
      <c r="F251" s="11">
        <f t="shared" si="15"/>
        <v>0</v>
      </c>
      <c r="G251">
        <f ca="1">SUM($F$2:F251)/E251</f>
        <v>156.78374698402013</v>
      </c>
      <c r="I251">
        <v>249</v>
      </c>
      <c r="J251">
        <f t="shared" si="16"/>
        <v>0</v>
      </c>
      <c r="K251">
        <f ca="1">SUM($J$2:J251)/I251</f>
        <v>154.04602050789262</v>
      </c>
      <c r="M251">
        <v>249</v>
      </c>
      <c r="N251">
        <f t="shared" si="17"/>
        <v>0</v>
      </c>
      <c r="O251">
        <f ca="1">SUM($N$2:N251)/M251</f>
        <v>156.78374698402013</v>
      </c>
    </row>
    <row r="252" spans="1:15" x14ac:dyDescent="0.2">
      <c r="A252">
        <v>250</v>
      </c>
      <c r="B252" s="11">
        <f t="shared" si="14"/>
        <v>0</v>
      </c>
      <c r="C252">
        <f ca="1">SUM($B$2:B252)/A252</f>
        <v>153.42983642586105</v>
      </c>
      <c r="E252">
        <v>250</v>
      </c>
      <c r="F252" s="11">
        <f t="shared" si="15"/>
        <v>0</v>
      </c>
      <c r="G252">
        <f ca="1">SUM($F$2:F252)/E252</f>
        <v>156.15661199608405</v>
      </c>
      <c r="I252">
        <v>250</v>
      </c>
      <c r="J252">
        <f t="shared" si="16"/>
        <v>0</v>
      </c>
      <c r="K252">
        <f ca="1">SUM($J$2:J252)/I252</f>
        <v>153.42983642586105</v>
      </c>
      <c r="M252">
        <v>250</v>
      </c>
      <c r="N252">
        <f t="shared" si="17"/>
        <v>0</v>
      </c>
      <c r="O252">
        <f ca="1">SUM($N$2:N252)/M252</f>
        <v>156.15661199608405</v>
      </c>
    </row>
    <row r="253" spans="1:15" x14ac:dyDescent="0.2">
      <c r="A253">
        <v>251</v>
      </c>
      <c r="B253" s="11">
        <f t="shared" si="14"/>
        <v>0</v>
      </c>
      <c r="C253">
        <f ca="1">SUM($B$2:B253)/A253</f>
        <v>152.81856217715244</v>
      </c>
      <c r="E253">
        <v>251</v>
      </c>
      <c r="F253" s="11">
        <f t="shared" si="15"/>
        <v>0</v>
      </c>
      <c r="G253">
        <f ca="1">SUM($F$2:F253)/E253</f>
        <v>155.5344740996853</v>
      </c>
      <c r="I253">
        <v>251</v>
      </c>
      <c r="J253">
        <f t="shared" si="16"/>
        <v>0</v>
      </c>
      <c r="K253">
        <f ca="1">SUM($J$2:J253)/I253</f>
        <v>152.81856217715244</v>
      </c>
      <c r="M253">
        <v>251</v>
      </c>
      <c r="N253">
        <f t="shared" si="17"/>
        <v>0</v>
      </c>
      <c r="O253">
        <f ca="1">SUM($N$2:N253)/M253</f>
        <v>155.5344740996853</v>
      </c>
    </row>
    <row r="254" spans="1:15" x14ac:dyDescent="0.2">
      <c r="A254">
        <v>252</v>
      </c>
      <c r="B254" s="11">
        <f t="shared" si="14"/>
        <v>0</v>
      </c>
      <c r="C254">
        <f ca="1">SUM($B$2:B254)/A254</f>
        <v>152.21213931137009</v>
      </c>
      <c r="E254">
        <v>252</v>
      </c>
      <c r="F254" s="11">
        <f t="shared" si="15"/>
        <v>0</v>
      </c>
      <c r="G254">
        <f ca="1">SUM($F$2:F254)/E254</f>
        <v>154.91727380563893</v>
      </c>
      <c r="I254">
        <v>252</v>
      </c>
      <c r="J254">
        <f t="shared" si="16"/>
        <v>0</v>
      </c>
      <c r="K254">
        <f ca="1">SUM($J$2:J254)/I254</f>
        <v>152.21213931137009</v>
      </c>
      <c r="M254">
        <v>252</v>
      </c>
      <c r="N254">
        <f t="shared" si="17"/>
        <v>0</v>
      </c>
      <c r="O254">
        <f ca="1">SUM($N$2:N254)/M254</f>
        <v>154.91727380563893</v>
      </c>
    </row>
    <row r="255" spans="1:15" x14ac:dyDescent="0.2">
      <c r="A255">
        <v>253</v>
      </c>
      <c r="B255" s="11">
        <f t="shared" si="14"/>
        <v>0</v>
      </c>
      <c r="C255">
        <f ca="1">SUM($B$2:B255)/A255</f>
        <v>151.61051030223425</v>
      </c>
      <c r="E255">
        <v>253</v>
      </c>
      <c r="F255" s="11">
        <f t="shared" si="15"/>
        <v>0</v>
      </c>
      <c r="G255">
        <f ca="1">SUM($F$2:F255)/E255</f>
        <v>154.30495256530043</v>
      </c>
      <c r="I255">
        <v>253</v>
      </c>
      <c r="J255">
        <f t="shared" si="16"/>
        <v>0</v>
      </c>
      <c r="K255">
        <f ca="1">SUM($J$2:J255)/I255</f>
        <v>151.61051030223425</v>
      </c>
      <c r="M255">
        <v>253</v>
      </c>
      <c r="N255">
        <f t="shared" si="17"/>
        <v>0</v>
      </c>
      <c r="O255">
        <f ca="1">SUM($N$2:N255)/M255</f>
        <v>154.30495256530043</v>
      </c>
    </row>
    <row r="256" spans="1:15" x14ac:dyDescent="0.2">
      <c r="A256">
        <v>254</v>
      </c>
      <c r="B256" s="11">
        <f t="shared" si="14"/>
        <v>0</v>
      </c>
      <c r="C256">
        <f ca="1">SUM($B$2:B256)/A256</f>
        <v>151.01361852939081</v>
      </c>
      <c r="E256">
        <v>254</v>
      </c>
      <c r="F256" s="11">
        <f t="shared" si="15"/>
        <v>0</v>
      </c>
      <c r="G256">
        <f ca="1">SUM($F$2:F256)/E256</f>
        <v>153.69745275205122</v>
      </c>
      <c r="I256">
        <v>254</v>
      </c>
      <c r="J256">
        <f t="shared" si="16"/>
        <v>0</v>
      </c>
      <c r="K256">
        <f ca="1">SUM($J$2:J256)/I256</f>
        <v>151.01361852939081</v>
      </c>
      <c r="M256">
        <v>254</v>
      </c>
      <c r="N256">
        <f t="shared" si="17"/>
        <v>0</v>
      </c>
      <c r="O256">
        <f ca="1">SUM($N$2:N256)/M256</f>
        <v>153.69745275205122</v>
      </c>
    </row>
    <row r="257" spans="1:15" x14ac:dyDescent="0.2">
      <c r="A257">
        <v>255</v>
      </c>
      <c r="B257" s="11">
        <f t="shared" si="14"/>
        <v>0</v>
      </c>
      <c r="C257">
        <f ca="1">SUM($B$2:B257)/A257</f>
        <v>150.42140826064809</v>
      </c>
      <c r="E257">
        <v>255</v>
      </c>
      <c r="F257" s="11">
        <f t="shared" si="15"/>
        <v>0</v>
      </c>
      <c r="G257">
        <f ca="1">SUM($F$2:F257)/E257</f>
        <v>153.09471764321964</v>
      </c>
      <c r="I257">
        <v>255</v>
      </c>
      <c r="J257">
        <f t="shared" si="16"/>
        <v>0</v>
      </c>
      <c r="K257">
        <f ca="1">SUM($J$2:J257)/I257</f>
        <v>150.42140826064809</v>
      </c>
      <c r="M257">
        <v>255</v>
      </c>
      <c r="N257">
        <f t="shared" si="17"/>
        <v>0</v>
      </c>
      <c r="O257">
        <f ca="1">SUM($N$2:N257)/M257</f>
        <v>153.09471764321964</v>
      </c>
    </row>
    <row r="258" spans="1:15" x14ac:dyDescent="0.2">
      <c r="A258">
        <v>256</v>
      </c>
      <c r="B258" s="11">
        <f t="shared" si="14"/>
        <v>0</v>
      </c>
      <c r="C258">
        <f ca="1">SUM($B$2:B258)/A258</f>
        <v>149.83382463462993</v>
      </c>
      <c r="E258">
        <v>256</v>
      </c>
      <c r="F258" s="11">
        <f t="shared" si="15"/>
        <v>0</v>
      </c>
      <c r="G258">
        <f ca="1">SUM($F$2:F258)/E258</f>
        <v>152.49669140242582</v>
      </c>
      <c r="I258">
        <v>256</v>
      </c>
      <c r="J258">
        <f t="shared" si="16"/>
        <v>0</v>
      </c>
      <c r="K258">
        <f ca="1">SUM($J$2:J258)/I258</f>
        <v>149.83382463462993</v>
      </c>
      <c r="M258">
        <v>256</v>
      </c>
      <c r="N258">
        <f t="shared" si="17"/>
        <v>0</v>
      </c>
      <c r="O258">
        <f ca="1">SUM($N$2:N258)/M258</f>
        <v>152.49669140242582</v>
      </c>
    </row>
    <row r="259" spans="1:15" x14ac:dyDescent="0.2">
      <c r="A259">
        <v>257</v>
      </c>
      <c r="B259" s="11">
        <f t="shared" ref="B259:B322" si="18">IF(ARCap-IF((A259-IF(A259/180&gt;1,ROUNDDOWN(A259/180,0)*180,0))/30&lt;=1,IF(200*15*BaseSpeed/60*(YellowConnects+WhiteMHConnects+WhiteOHConnects+HoJConnects+WindfuryConnects+SSConnects+IronfoeConnects)*(A259-180*ROUNDDOWN(A259/180,0))&gt;1200,1200,200*15*BaseSpeed/60*(YellowConnects+WhiteMHConnects+WhiteOHConnects+HoJConnects+WindfuryConnects+SSConnects+IronfoeConnects)*(A259-180*ROUNDDOWN(A259/180,0))),0)&lt;0,ARCap,IF((A259-IF(A259/180&gt;1,ROUNDDOWN(A258/180,0)*180,0))/30&lt;=1,IF(200*15*BaseSpeed/60*(YellowConnects+WhiteMHConnects+WhiteOHConnects+HoJConnects+WindfuryConnects+SSConnects+IronfoeConnects)*(A259-180*ROUNDDOWN(A259/180,0))&gt;1200,1200,200*15*BaseSpeed/60*(YellowConnects+WhiteMHConnects+WhiteOHConnects+HoJConnects+WindfuryConnects+SSConnects+IronfoeConnects)*(A259-180*ROUNDDOWN(A259/180,0))),0))</f>
        <v>0</v>
      </c>
      <c r="C259">
        <f ca="1">SUM($B$2:B259)/A259</f>
        <v>149.25081364383371</v>
      </c>
      <c r="E259">
        <v>257</v>
      </c>
      <c r="F259" s="11">
        <f t="shared" ref="F259:F322" si="19">IF(ARCap-IF((A259-IF(A259/180&gt;1,ROUNDDOWN(A259/180,0)*180,0))/30&lt;=1,IF(200*15*BaseSpeed/60*(YellowConnects20+WhiteMHConnects20+WhiteOHConnects20+HoJConnects20+WindfuryConnects20+SSConnects20+IronfoeConnects20)*(A259-180*ROUNDDOWN(A259/180,0))&gt;1200,1200,200*15*BaseSpeed/60*(YellowConnects20+WhiteMHConnects20+WhiteOHConnects20+HoJConnects20+WindfuryConnects20+SSConnects20+IronfoeConnects20)*(A259-180*ROUNDDOWN(A259/180,0))),0)&lt;0,ARCap,IF((A259-IF(A259/180&gt;1,ROUNDDOWN(A259/180,0)*180,0))/30&lt;=1,IF(200*15*BaseSpeed/60*(YellowConnects20+WhiteMHConnects20+WhiteOHConnects20+HoJConnects20+WindfuryConnects20+SSConnects20+IronfoeConnects20)*(A259-180*ROUNDDOWN(A259/180,0))&gt;1200,1200,200*15*BaseSpeed/60*(YellowConnects20+WhiteMHConnects20+WhiteOHConnects20+HoJConnects20+WindfuryConnects20+SSConnects20+IronfoeConnects20)*(A259-180*ROUNDDOWN(A259/180,0))),0))</f>
        <v>0</v>
      </c>
      <c r="G259">
        <f ca="1">SUM($F$2:F259)/E259</f>
        <v>151.90331906233857</v>
      </c>
      <c r="I259">
        <v>257</v>
      </c>
      <c r="J259">
        <f t="shared" ref="J259:J322" si="20">IF(ARCap-(B259+BRE)&lt;0,ARCap,B259+BRE)</f>
        <v>0</v>
      </c>
      <c r="K259">
        <f ca="1">SUM($J$2:J259)/I259</f>
        <v>149.25081364383371</v>
      </c>
      <c r="M259">
        <v>257</v>
      </c>
      <c r="N259">
        <f t="shared" ref="N259:N322" si="21">IF(ARCap-(F259+BREArmorReduction20)&lt;0,ARCap,F259+BREArmorReduction20)</f>
        <v>0</v>
      </c>
      <c r="O259">
        <f ca="1">SUM($N$2:N259)/M259</f>
        <v>151.90331906233857</v>
      </c>
    </row>
    <row r="260" spans="1:15" x14ac:dyDescent="0.2">
      <c r="A260">
        <v>258</v>
      </c>
      <c r="B260" s="11">
        <f t="shared" si="18"/>
        <v>0</v>
      </c>
      <c r="C260">
        <f ca="1">SUM($B$2:B260)/A260</f>
        <v>148.67232211808241</v>
      </c>
      <c r="E260">
        <v>258</v>
      </c>
      <c r="F260" s="11">
        <f t="shared" si="19"/>
        <v>0</v>
      </c>
      <c r="G260">
        <f ca="1">SUM($F$2:F260)/E260</f>
        <v>151.31454650783337</v>
      </c>
      <c r="I260">
        <v>258</v>
      </c>
      <c r="J260">
        <f t="shared" si="20"/>
        <v>0</v>
      </c>
      <c r="K260">
        <f ca="1">SUM($J$2:J260)/I260</f>
        <v>148.67232211808241</v>
      </c>
      <c r="M260">
        <v>258</v>
      </c>
      <c r="N260">
        <f t="shared" si="21"/>
        <v>0</v>
      </c>
      <c r="O260">
        <f ca="1">SUM($N$2:N260)/M260</f>
        <v>151.31454650783337</v>
      </c>
    </row>
    <row r="261" spans="1:15" x14ac:dyDescent="0.2">
      <c r="A261">
        <v>259</v>
      </c>
      <c r="B261" s="11">
        <f t="shared" si="18"/>
        <v>0</v>
      </c>
      <c r="C261">
        <f ca="1">SUM($B$2:B261)/A261</f>
        <v>148.09829770836009</v>
      </c>
      <c r="E261">
        <v>259</v>
      </c>
      <c r="F261" s="11">
        <f t="shared" si="19"/>
        <v>0</v>
      </c>
      <c r="G261">
        <f ca="1">SUM($F$2:F261)/E261</f>
        <v>150.73032045954059</v>
      </c>
      <c r="I261">
        <v>259</v>
      </c>
      <c r="J261">
        <f t="shared" si="20"/>
        <v>0</v>
      </c>
      <c r="K261">
        <f ca="1">SUM($J$2:J261)/I261</f>
        <v>148.09829770836009</v>
      </c>
      <c r="M261">
        <v>259</v>
      </c>
      <c r="N261">
        <f t="shared" si="21"/>
        <v>0</v>
      </c>
      <c r="O261">
        <f ca="1">SUM($N$2:N261)/M261</f>
        <v>150.73032045954059</v>
      </c>
    </row>
    <row r="262" spans="1:15" x14ac:dyDescent="0.2">
      <c r="A262">
        <v>260</v>
      </c>
      <c r="B262" s="11">
        <f t="shared" si="18"/>
        <v>0</v>
      </c>
      <c r="C262">
        <f ca="1">SUM($B$2:B262)/A262</f>
        <v>147.52868887102025</v>
      </c>
      <c r="E262">
        <v>260</v>
      </c>
      <c r="F262" s="11">
        <f t="shared" si="19"/>
        <v>0</v>
      </c>
      <c r="G262">
        <f ca="1">SUM($F$2:F262)/E262</f>
        <v>150.15058845777313</v>
      </c>
      <c r="I262">
        <v>260</v>
      </c>
      <c r="J262">
        <f t="shared" si="20"/>
        <v>0</v>
      </c>
      <c r="K262">
        <f ca="1">SUM($J$2:J262)/I262</f>
        <v>147.52868887102025</v>
      </c>
      <c r="M262">
        <v>260</v>
      </c>
      <c r="N262">
        <f t="shared" si="21"/>
        <v>0</v>
      </c>
      <c r="O262">
        <f ca="1">SUM($N$2:N262)/M262</f>
        <v>150.15058845777313</v>
      </c>
    </row>
    <row r="263" spans="1:15" x14ac:dyDescent="0.2">
      <c r="A263">
        <v>261</v>
      </c>
      <c r="B263" s="11">
        <f t="shared" si="18"/>
        <v>0</v>
      </c>
      <c r="C263">
        <f ca="1">SUM($B$2:B263)/A263</f>
        <v>146.96344485235733</v>
      </c>
      <c r="E263">
        <v>261</v>
      </c>
      <c r="F263" s="11">
        <f t="shared" si="19"/>
        <v>0</v>
      </c>
      <c r="G263">
        <f ca="1">SUM($F$2:F263)/E263</f>
        <v>149.57529884682378</v>
      </c>
      <c r="I263">
        <v>261</v>
      </c>
      <c r="J263">
        <f t="shared" si="20"/>
        <v>0</v>
      </c>
      <c r="K263">
        <f ca="1">SUM($J$2:J263)/I263</f>
        <v>146.96344485235733</v>
      </c>
      <c r="M263">
        <v>261</v>
      </c>
      <c r="N263">
        <f t="shared" si="21"/>
        <v>0</v>
      </c>
      <c r="O263">
        <f ca="1">SUM($N$2:N263)/M263</f>
        <v>149.57529884682378</v>
      </c>
    </row>
    <row r="264" spans="1:15" x14ac:dyDescent="0.2">
      <c r="A264">
        <v>262</v>
      </c>
      <c r="B264" s="11">
        <f t="shared" si="18"/>
        <v>0</v>
      </c>
      <c r="C264">
        <f ca="1">SUM($B$2:B264)/A264</f>
        <v>146.40251567353152</v>
      </c>
      <c r="E264">
        <v>262</v>
      </c>
      <c r="F264" s="11">
        <f t="shared" si="19"/>
        <v>0</v>
      </c>
      <c r="G264">
        <f ca="1">SUM($F$2:F264)/E264</f>
        <v>149.00440075962217</v>
      </c>
      <c r="I264">
        <v>262</v>
      </c>
      <c r="J264">
        <f t="shared" si="20"/>
        <v>0</v>
      </c>
      <c r="K264">
        <f ca="1">SUM($J$2:J264)/I264</f>
        <v>146.40251567353152</v>
      </c>
      <c r="M264">
        <v>262</v>
      </c>
      <c r="N264">
        <f t="shared" si="21"/>
        <v>0</v>
      </c>
      <c r="O264">
        <f ca="1">SUM($N$2:N264)/M264</f>
        <v>149.00440075962217</v>
      </c>
    </row>
    <row r="265" spans="1:15" x14ac:dyDescent="0.2">
      <c r="A265">
        <v>263</v>
      </c>
      <c r="B265" s="11">
        <f t="shared" si="18"/>
        <v>0</v>
      </c>
      <c r="C265">
        <f ca="1">SUM($B$2:B265)/A265</f>
        <v>145.84585211583752</v>
      </c>
      <c r="E265">
        <v>263</v>
      </c>
      <c r="F265" s="11">
        <f t="shared" si="19"/>
        <v>0</v>
      </c>
      <c r="G265">
        <f ca="1">SUM($F$2:F265)/E265</f>
        <v>148.43784410274148</v>
      </c>
      <c r="I265">
        <v>263</v>
      </c>
      <c r="J265">
        <f t="shared" si="20"/>
        <v>0</v>
      </c>
      <c r="K265">
        <f ca="1">SUM($J$2:J265)/I265</f>
        <v>145.84585211583752</v>
      </c>
      <c r="M265">
        <v>263</v>
      </c>
      <c r="N265">
        <f t="shared" si="21"/>
        <v>0</v>
      </c>
      <c r="O265">
        <f ca="1">SUM($N$2:N265)/M265</f>
        <v>148.43784410274148</v>
      </c>
    </row>
    <row r="266" spans="1:15" x14ac:dyDescent="0.2">
      <c r="A266">
        <v>264</v>
      </c>
      <c r="B266" s="11">
        <f t="shared" si="18"/>
        <v>0</v>
      </c>
      <c r="C266">
        <f ca="1">SUM($B$2:B266)/A266</f>
        <v>145.29340570630782</v>
      </c>
      <c r="E266">
        <v>264</v>
      </c>
      <c r="F266" s="11">
        <f t="shared" si="19"/>
        <v>0</v>
      </c>
      <c r="G266">
        <f ca="1">SUM($F$2:F266)/E266</f>
        <v>147.87557954174625</v>
      </c>
      <c r="I266">
        <v>264</v>
      </c>
      <c r="J266">
        <f t="shared" si="20"/>
        <v>0</v>
      </c>
      <c r="K266">
        <f ca="1">SUM($J$2:J266)/I266</f>
        <v>145.29340570630782</v>
      </c>
      <c r="M266">
        <v>264</v>
      </c>
      <c r="N266">
        <f t="shared" si="21"/>
        <v>0</v>
      </c>
      <c r="O266">
        <f ca="1">SUM($N$2:N266)/M266</f>
        <v>147.87557954174625</v>
      </c>
    </row>
    <row r="267" spans="1:15" x14ac:dyDescent="0.2">
      <c r="A267">
        <v>265</v>
      </c>
      <c r="B267" s="11">
        <f t="shared" si="18"/>
        <v>0</v>
      </c>
      <c r="C267">
        <f ca="1">SUM($B$2:B267)/A267</f>
        <v>144.74512870364251</v>
      </c>
      <c r="E267">
        <v>265</v>
      </c>
      <c r="F267" s="11">
        <f t="shared" si="19"/>
        <v>0</v>
      </c>
      <c r="G267">
        <f ca="1">SUM($F$2:F267)/E267</f>
        <v>147.31755848687175</v>
      </c>
      <c r="I267">
        <v>265</v>
      </c>
      <c r="J267">
        <f t="shared" si="20"/>
        <v>0</v>
      </c>
      <c r="K267">
        <f ca="1">SUM($J$2:J267)/I267</f>
        <v>144.74512870364251</v>
      </c>
      <c r="M267">
        <v>265</v>
      </c>
      <c r="N267">
        <f t="shared" si="21"/>
        <v>0</v>
      </c>
      <c r="O267">
        <f ca="1">SUM($N$2:N267)/M267</f>
        <v>147.31755848687175</v>
      </c>
    </row>
    <row r="268" spans="1:15" x14ac:dyDescent="0.2">
      <c r="A268">
        <v>266</v>
      </c>
      <c r="B268" s="11">
        <f t="shared" si="18"/>
        <v>0</v>
      </c>
      <c r="C268">
        <f ca="1">SUM($B$2:B268)/A268</f>
        <v>144.20097408445588</v>
      </c>
      <c r="E268">
        <v>266</v>
      </c>
      <c r="F268" s="11">
        <f t="shared" si="19"/>
        <v>0</v>
      </c>
      <c r="G268">
        <f ca="1">SUM($F$2:F268)/E268</f>
        <v>146.76373307902637</v>
      </c>
      <c r="I268">
        <v>266</v>
      </c>
      <c r="J268">
        <f t="shared" si="20"/>
        <v>0</v>
      </c>
      <c r="K268">
        <f ca="1">SUM($J$2:J268)/I268</f>
        <v>144.20097408445588</v>
      </c>
      <c r="M268">
        <v>266</v>
      </c>
      <c r="N268">
        <f t="shared" si="21"/>
        <v>0</v>
      </c>
      <c r="O268">
        <f ca="1">SUM($N$2:N268)/M268</f>
        <v>146.76373307902637</v>
      </c>
    </row>
    <row r="269" spans="1:15" x14ac:dyDescent="0.2">
      <c r="A269">
        <v>267</v>
      </c>
      <c r="B269" s="11">
        <f t="shared" si="18"/>
        <v>0</v>
      </c>
      <c r="C269">
        <f ca="1">SUM($B$2:B269)/A269</f>
        <v>143.66089552983246</v>
      </c>
      <c r="E269">
        <v>267</v>
      </c>
      <c r="F269" s="11">
        <f t="shared" si="19"/>
        <v>0</v>
      </c>
      <c r="G269">
        <f ca="1">SUM($F$2:F269)/E269</f>
        <v>146.21405617610864</v>
      </c>
      <c r="I269">
        <v>267</v>
      </c>
      <c r="J269">
        <f t="shared" si="20"/>
        <v>0</v>
      </c>
      <c r="K269">
        <f ca="1">SUM($J$2:J269)/I269</f>
        <v>143.66089552983246</v>
      </c>
      <c r="M269">
        <v>267</v>
      </c>
      <c r="N269">
        <f t="shared" si="21"/>
        <v>0</v>
      </c>
      <c r="O269">
        <f ca="1">SUM($N$2:N269)/M269</f>
        <v>146.21405617610864</v>
      </c>
    </row>
    <row r="270" spans="1:15" x14ac:dyDescent="0.2">
      <c r="A270">
        <v>268</v>
      </c>
      <c r="B270" s="11">
        <f t="shared" si="18"/>
        <v>0</v>
      </c>
      <c r="C270">
        <f ca="1">SUM($B$2:B270)/A270</f>
        <v>143.12484741218381</v>
      </c>
      <c r="E270">
        <v>268</v>
      </c>
      <c r="F270" s="11">
        <f t="shared" si="19"/>
        <v>0</v>
      </c>
      <c r="G270">
        <f ca="1">SUM($F$2:F270)/E270</f>
        <v>145.66848133963063</v>
      </c>
      <c r="I270">
        <v>268</v>
      </c>
      <c r="J270">
        <f t="shared" si="20"/>
        <v>0</v>
      </c>
      <c r="K270">
        <f ca="1">SUM($J$2:J270)/I270</f>
        <v>143.12484741218381</v>
      </c>
      <c r="M270">
        <v>268</v>
      </c>
      <c r="N270">
        <f t="shared" si="21"/>
        <v>0</v>
      </c>
      <c r="O270">
        <f ca="1">SUM($N$2:N270)/M270</f>
        <v>145.66848133963063</v>
      </c>
    </row>
    <row r="271" spans="1:15" x14ac:dyDescent="0.2">
      <c r="A271">
        <v>269</v>
      </c>
      <c r="B271" s="11">
        <f t="shared" si="18"/>
        <v>0</v>
      </c>
      <c r="C271">
        <f ca="1">SUM($B$2:B271)/A271</f>
        <v>142.59278478239875</v>
      </c>
      <c r="E271">
        <v>269</v>
      </c>
      <c r="F271" s="11">
        <f t="shared" si="19"/>
        <v>0</v>
      </c>
      <c r="G271">
        <f ca="1">SUM($F$2:F271)/E271</f>
        <v>145.12696282163944</v>
      </c>
      <c r="I271">
        <v>269</v>
      </c>
      <c r="J271">
        <f t="shared" si="20"/>
        <v>0</v>
      </c>
      <c r="K271">
        <f ca="1">SUM($J$2:J271)/I271</f>
        <v>142.59278478239875</v>
      </c>
      <c r="M271">
        <v>269</v>
      </c>
      <c r="N271">
        <f t="shared" si="21"/>
        <v>0</v>
      </c>
      <c r="O271">
        <f ca="1">SUM($N$2:N271)/M271</f>
        <v>145.12696282163944</v>
      </c>
    </row>
    <row r="272" spans="1:15" x14ac:dyDescent="0.2">
      <c r="A272">
        <v>270</v>
      </c>
      <c r="B272" s="11">
        <f t="shared" si="18"/>
        <v>0</v>
      </c>
      <c r="C272">
        <f ca="1">SUM($B$2:B272)/A272</f>
        <v>142.06466335727876</v>
      </c>
      <c r="E272">
        <v>270</v>
      </c>
      <c r="F272" s="11">
        <f t="shared" si="19"/>
        <v>0</v>
      </c>
      <c r="G272">
        <f ca="1">SUM($F$2:F272)/E272</f>
        <v>144.58945555192966</v>
      </c>
      <c r="I272">
        <v>270</v>
      </c>
      <c r="J272">
        <f t="shared" si="20"/>
        <v>0</v>
      </c>
      <c r="K272">
        <f ca="1">SUM($J$2:J272)/I272</f>
        <v>142.06466335727876</v>
      </c>
      <c r="M272">
        <v>270</v>
      </c>
      <c r="N272">
        <f t="shared" si="21"/>
        <v>0</v>
      </c>
      <c r="O272">
        <f ca="1">SUM($N$2:N272)/M272</f>
        <v>144.58945555192966</v>
      </c>
    </row>
    <row r="273" spans="1:15" x14ac:dyDescent="0.2">
      <c r="A273">
        <v>271</v>
      </c>
      <c r="B273" s="11">
        <f t="shared" si="18"/>
        <v>0</v>
      </c>
      <c r="C273">
        <f ca="1">SUM($B$2:B273)/A273</f>
        <v>141.5404395072519</v>
      </c>
      <c r="E273">
        <v>271</v>
      </c>
      <c r="F273" s="11">
        <f t="shared" si="19"/>
        <v>0</v>
      </c>
      <c r="G273">
        <f ca="1">SUM($F$2:F273)/E273</f>
        <v>144.05591512553877</v>
      </c>
      <c r="I273">
        <v>271</v>
      </c>
      <c r="J273">
        <f t="shared" si="20"/>
        <v>0</v>
      </c>
      <c r="K273">
        <f ca="1">SUM($J$2:J273)/I273</f>
        <v>141.5404395072519</v>
      </c>
      <c r="M273">
        <v>271</v>
      </c>
      <c r="N273">
        <f t="shared" si="21"/>
        <v>0</v>
      </c>
      <c r="O273">
        <f ca="1">SUM($N$2:N273)/M273</f>
        <v>144.05591512553877</v>
      </c>
    </row>
    <row r="274" spans="1:15" x14ac:dyDescent="0.2">
      <c r="A274">
        <v>272</v>
      </c>
      <c r="B274" s="11">
        <f t="shared" si="18"/>
        <v>0</v>
      </c>
      <c r="C274">
        <f ca="1">SUM($B$2:B274)/A274</f>
        <v>141.02007024435758</v>
      </c>
      <c r="E274">
        <v>272</v>
      </c>
      <c r="F274" s="11">
        <f t="shared" si="19"/>
        <v>0</v>
      </c>
      <c r="G274">
        <f ca="1">SUM($F$2:F274)/E274</f>
        <v>143.52629779051841</v>
      </c>
      <c r="I274">
        <v>272</v>
      </c>
      <c r="J274">
        <f t="shared" si="20"/>
        <v>0</v>
      </c>
      <c r="K274">
        <f ca="1">SUM($J$2:J274)/I274</f>
        <v>141.02007024435758</v>
      </c>
      <c r="M274">
        <v>272</v>
      </c>
      <c r="N274">
        <f t="shared" si="21"/>
        <v>0</v>
      </c>
      <c r="O274">
        <f ca="1">SUM($N$2:N274)/M274</f>
        <v>143.52629779051841</v>
      </c>
    </row>
    <row r="275" spans="1:15" x14ac:dyDescent="0.2">
      <c r="A275">
        <v>273</v>
      </c>
      <c r="B275" s="11">
        <f t="shared" si="18"/>
        <v>0</v>
      </c>
      <c r="C275">
        <f ca="1">SUM($B$2:B275)/A275</f>
        <v>140.50351321049547</v>
      </c>
      <c r="E275">
        <v>273</v>
      </c>
      <c r="F275" s="11">
        <f t="shared" si="19"/>
        <v>0</v>
      </c>
      <c r="G275">
        <f ca="1">SUM($F$2:F275)/E275</f>
        <v>143.00056043597439</v>
      </c>
      <c r="I275">
        <v>273</v>
      </c>
      <c r="J275">
        <f t="shared" si="20"/>
        <v>0</v>
      </c>
      <c r="K275">
        <f ca="1">SUM($J$2:J275)/I275</f>
        <v>140.50351321049547</v>
      </c>
      <c r="M275">
        <v>273</v>
      </c>
      <c r="N275">
        <f t="shared" si="21"/>
        <v>0</v>
      </c>
      <c r="O275">
        <f ca="1">SUM($N$2:N275)/M275</f>
        <v>143.00056043597439</v>
      </c>
    </row>
    <row r="276" spans="1:15" x14ac:dyDescent="0.2">
      <c r="A276">
        <v>274</v>
      </c>
      <c r="B276" s="11">
        <f t="shared" si="18"/>
        <v>0</v>
      </c>
      <c r="C276">
        <f ca="1">SUM($B$2:B276)/A276</f>
        <v>139.99072666593162</v>
      </c>
      <c r="E276">
        <v>274</v>
      </c>
      <c r="F276" s="11">
        <f t="shared" si="19"/>
        <v>0</v>
      </c>
      <c r="G276">
        <f ca="1">SUM($F$2:F276)/E276</f>
        <v>142.47866058036865</v>
      </c>
      <c r="I276">
        <v>274</v>
      </c>
      <c r="J276">
        <f t="shared" si="20"/>
        <v>0</v>
      </c>
      <c r="K276">
        <f ca="1">SUM($J$2:J276)/I276</f>
        <v>139.99072666593162</v>
      </c>
      <c r="M276">
        <v>274</v>
      </c>
      <c r="N276">
        <f t="shared" si="21"/>
        <v>0</v>
      </c>
      <c r="O276">
        <f ca="1">SUM($N$2:N276)/M276</f>
        <v>142.47866058036865</v>
      </c>
    </row>
    <row r="277" spans="1:15" x14ac:dyDescent="0.2">
      <c r="A277">
        <v>275</v>
      </c>
      <c r="B277" s="11">
        <f t="shared" si="18"/>
        <v>0</v>
      </c>
      <c r="C277">
        <f ca="1">SUM($B$2:B277)/A277</f>
        <v>139.48166947805549</v>
      </c>
      <c r="E277">
        <v>275</v>
      </c>
      <c r="F277" s="11">
        <f t="shared" si="19"/>
        <v>0</v>
      </c>
      <c r="G277">
        <f ca="1">SUM($F$2:F277)/E277</f>
        <v>141.9605563600764</v>
      </c>
      <c r="I277">
        <v>275</v>
      </c>
      <c r="J277">
        <f t="shared" si="20"/>
        <v>0</v>
      </c>
      <c r="K277">
        <f ca="1">SUM($J$2:J277)/I277</f>
        <v>139.48166947805549</v>
      </c>
      <c r="M277">
        <v>275</v>
      </c>
      <c r="N277">
        <f t="shared" si="21"/>
        <v>0</v>
      </c>
      <c r="O277">
        <f ca="1">SUM($N$2:N277)/M277</f>
        <v>141.9605563600764</v>
      </c>
    </row>
    <row r="278" spans="1:15" x14ac:dyDescent="0.2">
      <c r="A278">
        <v>276</v>
      </c>
      <c r="B278" s="11">
        <f t="shared" si="18"/>
        <v>0</v>
      </c>
      <c r="C278">
        <f ca="1">SUM($B$2:B278)/A278</f>
        <v>138.9763011103814</v>
      </c>
      <c r="E278">
        <v>276</v>
      </c>
      <c r="F278" s="11">
        <f t="shared" si="19"/>
        <v>0</v>
      </c>
      <c r="G278">
        <f ca="1">SUM($F$2:F278)/E278</f>
        <v>141.44620651819207</v>
      </c>
      <c r="I278">
        <v>276</v>
      </c>
      <c r="J278">
        <f t="shared" si="20"/>
        <v>0</v>
      </c>
      <c r="K278">
        <f ca="1">SUM($J$2:J278)/I278</f>
        <v>138.9763011103814</v>
      </c>
      <c r="M278">
        <v>276</v>
      </c>
      <c r="N278">
        <f t="shared" si="21"/>
        <v>0</v>
      </c>
      <c r="O278">
        <f ca="1">SUM($N$2:N278)/M278</f>
        <v>141.44620651819207</v>
      </c>
    </row>
    <row r="279" spans="1:15" x14ac:dyDescent="0.2">
      <c r="A279">
        <v>277</v>
      </c>
      <c r="B279" s="11">
        <f t="shared" si="18"/>
        <v>0</v>
      </c>
      <c r="C279">
        <f ca="1">SUM($B$2:B279)/A279</f>
        <v>138.47458161178795</v>
      </c>
      <c r="E279">
        <v>277</v>
      </c>
      <c r="F279" s="11">
        <f t="shared" si="19"/>
        <v>0</v>
      </c>
      <c r="G279">
        <f ca="1">SUM($F$2:F279)/E279</f>
        <v>140.93557039357765</v>
      </c>
      <c r="I279">
        <v>277</v>
      </c>
      <c r="J279">
        <f t="shared" si="20"/>
        <v>0</v>
      </c>
      <c r="K279">
        <f ca="1">SUM($J$2:J279)/I279</f>
        <v>138.47458161178795</v>
      </c>
      <c r="M279">
        <v>277</v>
      </c>
      <c r="N279">
        <f t="shared" si="21"/>
        <v>0</v>
      </c>
      <c r="O279">
        <f ca="1">SUM($N$2:N279)/M279</f>
        <v>140.93557039357765</v>
      </c>
    </row>
    <row r="280" spans="1:15" x14ac:dyDescent="0.2">
      <c r="A280">
        <v>278</v>
      </c>
      <c r="B280" s="11">
        <f t="shared" si="18"/>
        <v>0</v>
      </c>
      <c r="C280">
        <f ca="1">SUM($B$2:B280)/A280</f>
        <v>137.97647160599016</v>
      </c>
      <c r="E280">
        <v>278</v>
      </c>
      <c r="F280" s="11">
        <f t="shared" si="19"/>
        <v>0</v>
      </c>
      <c r="G280">
        <f ca="1">SUM($F$2:F280)/E280</f>
        <v>140.42860791014752</v>
      </c>
      <c r="I280">
        <v>278</v>
      </c>
      <c r="J280">
        <f t="shared" si="20"/>
        <v>0</v>
      </c>
      <c r="K280">
        <f ca="1">SUM($J$2:J280)/I280</f>
        <v>137.97647160599016</v>
      </c>
      <c r="M280">
        <v>278</v>
      </c>
      <c r="N280">
        <f t="shared" si="21"/>
        <v>0</v>
      </c>
      <c r="O280">
        <f ca="1">SUM($N$2:N280)/M280</f>
        <v>140.42860791014752</v>
      </c>
    </row>
    <row r="281" spans="1:15" x14ac:dyDescent="0.2">
      <c r="A281">
        <v>279</v>
      </c>
      <c r="B281" s="11">
        <f t="shared" si="18"/>
        <v>0</v>
      </c>
      <c r="C281">
        <f ca="1">SUM($B$2:B281)/A281</f>
        <v>137.4819322812375</v>
      </c>
      <c r="E281">
        <v>279</v>
      </c>
      <c r="F281" s="11">
        <f t="shared" si="19"/>
        <v>0</v>
      </c>
      <c r="G281">
        <f ca="1">SUM($F$2:F281)/E281</f>
        <v>139.92527956638355</v>
      </c>
      <c r="I281">
        <v>279</v>
      </c>
      <c r="J281">
        <f t="shared" si="20"/>
        <v>0</v>
      </c>
      <c r="K281">
        <f ca="1">SUM($J$2:J281)/I281</f>
        <v>137.4819322812375</v>
      </c>
      <c r="M281">
        <v>279</v>
      </c>
      <c r="N281">
        <f t="shared" si="21"/>
        <v>0</v>
      </c>
      <c r="O281">
        <f ca="1">SUM($N$2:N281)/M281</f>
        <v>139.92527956638355</v>
      </c>
    </row>
    <row r="282" spans="1:15" x14ac:dyDescent="0.2">
      <c r="A282">
        <v>280</v>
      </c>
      <c r="B282" s="11">
        <f t="shared" si="18"/>
        <v>0</v>
      </c>
      <c r="C282">
        <f ca="1">SUM($B$2:B282)/A282</f>
        <v>136.99092538023308</v>
      </c>
      <c r="E282">
        <v>280</v>
      </c>
      <c r="F282" s="11">
        <f t="shared" si="19"/>
        <v>0</v>
      </c>
      <c r="G282">
        <f ca="1">SUM($F$2:F282)/E282</f>
        <v>139.42554642507503</v>
      </c>
      <c r="I282">
        <v>280</v>
      </c>
      <c r="J282">
        <f t="shared" si="20"/>
        <v>0</v>
      </c>
      <c r="K282">
        <f ca="1">SUM($J$2:J282)/I282</f>
        <v>136.99092538023308</v>
      </c>
      <c r="M282">
        <v>280</v>
      </c>
      <c r="N282">
        <f t="shared" si="21"/>
        <v>0</v>
      </c>
      <c r="O282">
        <f ca="1">SUM($N$2:N282)/M282</f>
        <v>139.42554642507503</v>
      </c>
    </row>
    <row r="283" spans="1:15" x14ac:dyDescent="0.2">
      <c r="A283">
        <v>281</v>
      </c>
      <c r="B283" s="11">
        <f t="shared" si="18"/>
        <v>0</v>
      </c>
      <c r="C283">
        <f ca="1">SUM($B$2:B283)/A283</f>
        <v>136.50341319026785</v>
      </c>
      <c r="E283">
        <v>281</v>
      </c>
      <c r="F283" s="11">
        <f t="shared" si="19"/>
        <v>0</v>
      </c>
      <c r="G283">
        <f ca="1">SUM($F$2:F283)/E283</f>
        <v>138.92937010327762</v>
      </c>
      <c r="I283">
        <v>281</v>
      </c>
      <c r="J283">
        <f t="shared" si="20"/>
        <v>0</v>
      </c>
      <c r="K283">
        <f ca="1">SUM($J$2:J283)/I283</f>
        <v>136.50341319026785</v>
      </c>
      <c r="M283">
        <v>281</v>
      </c>
      <c r="N283">
        <f t="shared" si="21"/>
        <v>0</v>
      </c>
      <c r="O283">
        <f ca="1">SUM($N$2:N283)/M283</f>
        <v>138.92937010327762</v>
      </c>
    </row>
    <row r="284" spans="1:15" x14ac:dyDescent="0.2">
      <c r="A284">
        <v>282</v>
      </c>
      <c r="B284" s="11">
        <f t="shared" si="18"/>
        <v>0</v>
      </c>
      <c r="C284">
        <f ca="1">SUM($B$2:B284)/A284</f>
        <v>136.01935853356477</v>
      </c>
      <c r="E284">
        <v>282</v>
      </c>
      <c r="F284" s="11">
        <f t="shared" si="19"/>
        <v>0</v>
      </c>
      <c r="G284">
        <f ca="1">SUM($F$2:F284)/E284</f>
        <v>138.43671276248585</v>
      </c>
      <c r="I284">
        <v>282</v>
      </c>
      <c r="J284">
        <f t="shared" si="20"/>
        <v>0</v>
      </c>
      <c r="K284">
        <f ca="1">SUM($J$2:J284)/I284</f>
        <v>136.01935853356477</v>
      </c>
      <c r="M284">
        <v>282</v>
      </c>
      <c r="N284">
        <f t="shared" si="21"/>
        <v>0</v>
      </c>
      <c r="O284">
        <f ca="1">SUM($N$2:N284)/M284</f>
        <v>138.43671276248585</v>
      </c>
    </row>
    <row r="285" spans="1:15" x14ac:dyDescent="0.2">
      <c r="A285">
        <v>283</v>
      </c>
      <c r="B285" s="11">
        <f t="shared" si="18"/>
        <v>0</v>
      </c>
      <c r="C285">
        <f ca="1">SUM($B$2:B285)/A285</f>
        <v>135.53872475782779</v>
      </c>
      <c r="E285">
        <v>283</v>
      </c>
      <c r="F285" s="11">
        <f t="shared" si="19"/>
        <v>0</v>
      </c>
      <c r="G285">
        <f ca="1">SUM($F$2:F285)/E285</f>
        <v>137.94753709901417</v>
      </c>
      <c r="I285">
        <v>283</v>
      </c>
      <c r="J285">
        <f t="shared" si="20"/>
        <v>0</v>
      </c>
      <c r="K285">
        <f ca="1">SUM($J$2:J285)/I285</f>
        <v>135.53872475782779</v>
      </c>
      <c r="M285">
        <v>283</v>
      </c>
      <c r="N285">
        <f t="shared" si="21"/>
        <v>0</v>
      </c>
      <c r="O285">
        <f ca="1">SUM($N$2:N285)/M285</f>
        <v>137.94753709901417</v>
      </c>
    </row>
    <row r="286" spans="1:15" x14ac:dyDescent="0.2">
      <c r="A286">
        <v>284</v>
      </c>
      <c r="B286" s="11">
        <f t="shared" si="18"/>
        <v>0</v>
      </c>
      <c r="C286">
        <f ca="1">SUM($B$2:B286)/A286</f>
        <v>135.06147572699035</v>
      </c>
      <c r="E286">
        <v>284</v>
      </c>
      <c r="F286" s="11">
        <f t="shared" si="19"/>
        <v>0</v>
      </c>
      <c r="G286">
        <f ca="1">SUM($F$2:F286)/E286</f>
        <v>137.46180633458101</v>
      </c>
      <c r="I286">
        <v>284</v>
      </c>
      <c r="J286">
        <f t="shared" si="20"/>
        <v>0</v>
      </c>
      <c r="K286">
        <f ca="1">SUM($J$2:J286)/I286</f>
        <v>135.06147572699035</v>
      </c>
      <c r="M286">
        <v>284</v>
      </c>
      <c r="N286">
        <f t="shared" si="21"/>
        <v>0</v>
      </c>
      <c r="O286">
        <f ca="1">SUM($N$2:N286)/M286</f>
        <v>137.46180633458101</v>
      </c>
    </row>
    <row r="287" spans="1:15" x14ac:dyDescent="0.2">
      <c r="A287">
        <v>285</v>
      </c>
      <c r="B287" s="11">
        <f t="shared" si="18"/>
        <v>0</v>
      </c>
      <c r="C287">
        <f ca="1">SUM($B$2:B287)/A287</f>
        <v>134.58757581215883</v>
      </c>
      <c r="E287">
        <v>285</v>
      </c>
      <c r="F287" s="11">
        <f t="shared" si="19"/>
        <v>0</v>
      </c>
      <c r="G287">
        <f ca="1">SUM($F$2:F287)/E287</f>
        <v>136.97948420709128</v>
      </c>
      <c r="I287">
        <v>285</v>
      </c>
      <c r="J287">
        <f t="shared" si="20"/>
        <v>0</v>
      </c>
      <c r="K287">
        <f ca="1">SUM($J$2:J287)/I287</f>
        <v>134.58757581215883</v>
      </c>
      <c r="M287">
        <v>285</v>
      </c>
      <c r="N287">
        <f t="shared" si="21"/>
        <v>0</v>
      </c>
      <c r="O287">
        <f ca="1">SUM($N$2:N287)/M287</f>
        <v>136.97948420709128</v>
      </c>
    </row>
    <row r="288" spans="1:15" x14ac:dyDescent="0.2">
      <c r="A288">
        <v>286</v>
      </c>
      <c r="B288" s="11">
        <f t="shared" si="18"/>
        <v>0</v>
      </c>
      <c r="C288">
        <f ca="1">SUM($B$2:B288)/A288</f>
        <v>134.11698988274568</v>
      </c>
      <c r="E288">
        <v>286</v>
      </c>
      <c r="F288" s="11">
        <f t="shared" si="19"/>
        <v>0</v>
      </c>
      <c r="G288">
        <f ca="1">SUM($F$2:F288)/E288</f>
        <v>136.50053496161192</v>
      </c>
      <c r="I288">
        <v>286</v>
      </c>
      <c r="J288">
        <f t="shared" si="20"/>
        <v>0</v>
      </c>
      <c r="K288">
        <f ca="1">SUM($J$2:J288)/I288</f>
        <v>134.11698988274568</v>
      </c>
      <c r="M288">
        <v>286</v>
      </c>
      <c r="N288">
        <f t="shared" si="21"/>
        <v>0</v>
      </c>
      <c r="O288">
        <f ca="1">SUM($N$2:N288)/M288</f>
        <v>136.50053496161192</v>
      </c>
    </row>
    <row r="289" spans="1:15" x14ac:dyDescent="0.2">
      <c r="A289">
        <v>287</v>
      </c>
      <c r="B289" s="11">
        <f t="shared" si="18"/>
        <v>0</v>
      </c>
      <c r="C289">
        <f ca="1">SUM($B$2:B289)/A289</f>
        <v>133.64968329778839</v>
      </c>
      <c r="E289">
        <v>287</v>
      </c>
      <c r="F289" s="11">
        <f t="shared" si="19"/>
        <v>0</v>
      </c>
      <c r="G289">
        <f ca="1">SUM($F$2:F289)/E289</f>
        <v>136.02492334153663</v>
      </c>
      <c r="I289">
        <v>287</v>
      </c>
      <c r="J289">
        <f t="shared" si="20"/>
        <v>0</v>
      </c>
      <c r="K289">
        <f ca="1">SUM($J$2:J289)/I289</f>
        <v>133.64968329778839</v>
      </c>
      <c r="M289">
        <v>287</v>
      </c>
      <c r="N289">
        <f t="shared" si="21"/>
        <v>0</v>
      </c>
      <c r="O289">
        <f ca="1">SUM($N$2:N289)/M289</f>
        <v>136.02492334153663</v>
      </c>
    </row>
    <row r="290" spans="1:15" x14ac:dyDescent="0.2">
      <c r="A290">
        <v>288</v>
      </c>
      <c r="B290" s="11">
        <f t="shared" si="18"/>
        <v>0</v>
      </c>
      <c r="C290">
        <f ca="1">SUM($B$2:B290)/A290</f>
        <v>133.18562189744884</v>
      </c>
      <c r="E290">
        <v>288</v>
      </c>
      <c r="F290" s="11">
        <f t="shared" si="19"/>
        <v>0</v>
      </c>
      <c r="G290">
        <f ca="1">SUM($F$2:F290)/E290</f>
        <v>135.55261457993407</v>
      </c>
      <c r="I290">
        <v>288</v>
      </c>
      <c r="J290">
        <f t="shared" si="20"/>
        <v>0</v>
      </c>
      <c r="K290">
        <f ca="1">SUM($J$2:J290)/I290</f>
        <v>133.18562189744884</v>
      </c>
      <c r="M290">
        <v>288</v>
      </c>
      <c r="N290">
        <f t="shared" si="21"/>
        <v>0</v>
      </c>
      <c r="O290">
        <f ca="1">SUM($N$2:N290)/M290</f>
        <v>135.55261457993407</v>
      </c>
    </row>
    <row r="291" spans="1:15" x14ac:dyDescent="0.2">
      <c r="A291">
        <v>289</v>
      </c>
      <c r="B291" s="11">
        <f t="shared" si="18"/>
        <v>0</v>
      </c>
      <c r="C291">
        <f ca="1">SUM($B$2:B291)/A291</f>
        <v>132.72477199468949</v>
      </c>
      <c r="E291">
        <v>289</v>
      </c>
      <c r="F291" s="11">
        <f t="shared" si="19"/>
        <v>0</v>
      </c>
      <c r="G291">
        <f ca="1">SUM($F$2:F291)/E291</f>
        <v>135.08357439107616</v>
      </c>
      <c r="I291">
        <v>289</v>
      </c>
      <c r="J291">
        <f t="shared" si="20"/>
        <v>0</v>
      </c>
      <c r="K291">
        <f ca="1">SUM($J$2:J291)/I291</f>
        <v>132.72477199468949</v>
      </c>
      <c r="M291">
        <v>289</v>
      </c>
      <c r="N291">
        <f t="shared" si="21"/>
        <v>0</v>
      </c>
      <c r="O291">
        <f ca="1">SUM($N$2:N291)/M291</f>
        <v>135.08357439107616</v>
      </c>
    </row>
    <row r="292" spans="1:15" x14ac:dyDescent="0.2">
      <c r="A292">
        <v>290</v>
      </c>
      <c r="B292" s="11">
        <f t="shared" si="18"/>
        <v>0</v>
      </c>
      <c r="C292">
        <f ca="1">SUM($B$2:B292)/A292</f>
        <v>132.2671003671216</v>
      </c>
      <c r="E292">
        <v>290</v>
      </c>
      <c r="F292" s="11">
        <f t="shared" si="19"/>
        <v>0</v>
      </c>
      <c r="G292">
        <f ca="1">SUM($F$2:F292)/E292</f>
        <v>134.61776896214141</v>
      </c>
      <c r="I292">
        <v>290</v>
      </c>
      <c r="J292">
        <f t="shared" si="20"/>
        <v>0</v>
      </c>
      <c r="K292">
        <f ca="1">SUM($J$2:J292)/I292</f>
        <v>132.2671003671216</v>
      </c>
      <c r="M292">
        <v>290</v>
      </c>
      <c r="N292">
        <f t="shared" si="21"/>
        <v>0</v>
      </c>
      <c r="O292">
        <f ca="1">SUM($N$2:N292)/M292</f>
        <v>134.61776896214141</v>
      </c>
    </row>
    <row r="293" spans="1:15" x14ac:dyDescent="0.2">
      <c r="A293">
        <v>291</v>
      </c>
      <c r="B293" s="11">
        <f t="shared" si="18"/>
        <v>0</v>
      </c>
      <c r="C293">
        <f ca="1">SUM($B$2:B293)/A293</f>
        <v>131.81257424902151</v>
      </c>
      <c r="E293">
        <v>291</v>
      </c>
      <c r="F293" s="11">
        <f t="shared" si="19"/>
        <v>0</v>
      </c>
      <c r="G293">
        <f ca="1">SUM($F$2:F293)/E293</f>
        <v>134.15516494508938</v>
      </c>
      <c r="I293">
        <v>291</v>
      </c>
      <c r="J293">
        <f t="shared" si="20"/>
        <v>0</v>
      </c>
      <c r="K293">
        <f ca="1">SUM($J$2:J293)/I293</f>
        <v>131.81257424902151</v>
      </c>
      <c r="M293">
        <v>291</v>
      </c>
      <c r="N293">
        <f t="shared" si="21"/>
        <v>0</v>
      </c>
      <c r="O293">
        <f ca="1">SUM($N$2:N293)/M293</f>
        <v>134.15516494508938</v>
      </c>
    </row>
    <row r="294" spans="1:15" x14ac:dyDescent="0.2">
      <c r="A294">
        <v>292</v>
      </c>
      <c r="B294" s="11">
        <f t="shared" si="18"/>
        <v>0</v>
      </c>
      <c r="C294">
        <f ca="1">SUM($B$2:B294)/A294</f>
        <v>131.36116132351117</v>
      </c>
      <c r="E294">
        <v>292</v>
      </c>
      <c r="F294" s="11">
        <f t="shared" si="19"/>
        <v>0</v>
      </c>
      <c r="G294">
        <f ca="1">SUM($F$2:F294)/E294</f>
        <v>133.69572944870208</v>
      </c>
      <c r="I294">
        <v>292</v>
      </c>
      <c r="J294">
        <f t="shared" si="20"/>
        <v>0</v>
      </c>
      <c r="K294">
        <f ca="1">SUM($J$2:J294)/I294</f>
        <v>131.36116132351117</v>
      </c>
      <c r="M294">
        <v>292</v>
      </c>
      <c r="N294">
        <f t="shared" si="21"/>
        <v>0</v>
      </c>
      <c r="O294">
        <f ca="1">SUM($N$2:N294)/M294</f>
        <v>133.69572944870208</v>
      </c>
    </row>
    <row r="295" spans="1:15" x14ac:dyDescent="0.2">
      <c r="A295">
        <v>293</v>
      </c>
      <c r="B295" s="11">
        <f t="shared" si="18"/>
        <v>0</v>
      </c>
      <c r="C295">
        <f ca="1">SUM($B$2:B295)/A295</f>
        <v>130.91282971489852</v>
      </c>
      <c r="E295">
        <v>293</v>
      </c>
      <c r="F295" s="11">
        <f t="shared" si="19"/>
        <v>0</v>
      </c>
      <c r="G295">
        <f ca="1">SUM($F$2:F295)/E295</f>
        <v>133.23943003078844</v>
      </c>
      <c r="I295">
        <v>293</v>
      </c>
      <c r="J295">
        <f t="shared" si="20"/>
        <v>0</v>
      </c>
      <c r="K295">
        <f ca="1">SUM($J$2:J295)/I295</f>
        <v>130.91282971489852</v>
      </c>
      <c r="M295">
        <v>293</v>
      </c>
      <c r="N295">
        <f t="shared" si="21"/>
        <v>0</v>
      </c>
      <c r="O295">
        <f ca="1">SUM($N$2:N295)/M295</f>
        <v>133.23943003078844</v>
      </c>
    </row>
    <row r="296" spans="1:15" x14ac:dyDescent="0.2">
      <c r="A296">
        <v>294</v>
      </c>
      <c r="B296" s="11">
        <f t="shared" si="18"/>
        <v>0</v>
      </c>
      <c r="C296">
        <f ca="1">SUM($B$2:B296)/A296</f>
        <v>130.46754798117436</v>
      </c>
      <c r="E296">
        <v>294</v>
      </c>
      <c r="F296" s="11">
        <f t="shared" si="19"/>
        <v>0</v>
      </c>
      <c r="G296">
        <f ca="1">SUM($F$2:F296)/E296</f>
        <v>132.78623469054764</v>
      </c>
      <c r="I296">
        <v>294</v>
      </c>
      <c r="J296">
        <f t="shared" si="20"/>
        <v>0</v>
      </c>
      <c r="K296">
        <f ca="1">SUM($J$2:J296)/I296</f>
        <v>130.46754798117436</v>
      </c>
      <c r="M296">
        <v>294</v>
      </c>
      <c r="N296">
        <f t="shared" si="21"/>
        <v>0</v>
      </c>
      <c r="O296">
        <f ca="1">SUM($N$2:N296)/M296</f>
        <v>132.78623469054764</v>
      </c>
    </row>
    <row r="297" spans="1:15" x14ac:dyDescent="0.2">
      <c r="A297">
        <v>295</v>
      </c>
      <c r="B297" s="11">
        <f t="shared" si="18"/>
        <v>0</v>
      </c>
      <c r="C297">
        <f ca="1">SUM($B$2:B297)/A297</f>
        <v>130.0252851066619</v>
      </c>
      <c r="E297">
        <v>295</v>
      </c>
      <c r="F297" s="11">
        <f t="shared" si="19"/>
        <v>0</v>
      </c>
      <c r="G297">
        <f ca="1">SUM($F$2:F297)/E297</f>
        <v>132.33611186108817</v>
      </c>
      <c r="I297">
        <v>295</v>
      </c>
      <c r="J297">
        <f t="shared" si="20"/>
        <v>0</v>
      </c>
      <c r="K297">
        <f ca="1">SUM($J$2:J297)/I297</f>
        <v>130.0252851066619</v>
      </c>
      <c r="M297">
        <v>295</v>
      </c>
      <c r="N297">
        <f t="shared" si="21"/>
        <v>0</v>
      </c>
      <c r="O297">
        <f ca="1">SUM($N$2:N297)/M297</f>
        <v>132.33611186108817</v>
      </c>
    </row>
    <row r="298" spans="1:15" x14ac:dyDescent="0.2">
      <c r="A298">
        <v>296</v>
      </c>
      <c r="B298" s="11">
        <f t="shared" si="18"/>
        <v>0</v>
      </c>
      <c r="C298">
        <f ca="1">SUM($B$2:B298)/A298</f>
        <v>129.58601049481507</v>
      </c>
      <c r="E298">
        <v>296</v>
      </c>
      <c r="F298" s="11">
        <f t="shared" si="19"/>
        <v>0</v>
      </c>
      <c r="G298">
        <f ca="1">SUM($F$2:F298)/E298</f>
        <v>131.889030402098</v>
      </c>
      <c r="I298">
        <v>296</v>
      </c>
      <c r="J298">
        <f t="shared" si="20"/>
        <v>0</v>
      </c>
      <c r="K298">
        <f ca="1">SUM($J$2:J298)/I298</f>
        <v>129.58601049481507</v>
      </c>
      <c r="M298">
        <v>296</v>
      </c>
      <c r="N298">
        <f t="shared" si="21"/>
        <v>0</v>
      </c>
      <c r="O298">
        <f ca="1">SUM($N$2:N298)/M298</f>
        <v>131.889030402098</v>
      </c>
    </row>
    <row r="299" spans="1:15" x14ac:dyDescent="0.2">
      <c r="A299">
        <v>297</v>
      </c>
      <c r="B299" s="11">
        <f t="shared" si="18"/>
        <v>0</v>
      </c>
      <c r="C299">
        <f ca="1">SUM($B$2:B299)/A299</f>
        <v>129.14969396116251</v>
      </c>
      <c r="E299">
        <v>297</v>
      </c>
      <c r="F299" s="11">
        <f t="shared" si="19"/>
        <v>0</v>
      </c>
      <c r="G299">
        <f ca="1">SUM($F$2:F299)/E299</f>
        <v>131.44495959266334</v>
      </c>
      <c r="I299">
        <v>297</v>
      </c>
      <c r="J299">
        <f t="shared" si="20"/>
        <v>0</v>
      </c>
      <c r="K299">
        <f ca="1">SUM($J$2:J299)/I299</f>
        <v>129.14969396116251</v>
      </c>
      <c r="M299">
        <v>297</v>
      </c>
      <c r="N299">
        <f t="shared" si="21"/>
        <v>0</v>
      </c>
      <c r="O299">
        <f ca="1">SUM($N$2:N299)/M299</f>
        <v>131.44495959266334</v>
      </c>
    </row>
    <row r="300" spans="1:15" x14ac:dyDescent="0.2">
      <c r="A300">
        <v>298</v>
      </c>
      <c r="B300" s="11">
        <f t="shared" si="18"/>
        <v>0</v>
      </c>
      <c r="C300">
        <f ca="1">SUM($B$2:B300)/A300</f>
        <v>128.7163057263935</v>
      </c>
      <c r="E300">
        <v>298</v>
      </c>
      <c r="F300" s="11">
        <f t="shared" si="19"/>
        <v>0</v>
      </c>
      <c r="G300">
        <f ca="1">SUM($F$2:F300)/E300</f>
        <v>131.00386912423158</v>
      </c>
      <c r="I300">
        <v>298</v>
      </c>
      <c r="J300">
        <f t="shared" si="20"/>
        <v>0</v>
      </c>
      <c r="K300">
        <f ca="1">SUM($J$2:J300)/I300</f>
        <v>128.7163057263935</v>
      </c>
      <c r="M300">
        <v>298</v>
      </c>
      <c r="N300">
        <f t="shared" si="21"/>
        <v>0</v>
      </c>
      <c r="O300">
        <f ca="1">SUM($N$2:N300)/M300</f>
        <v>131.00386912423158</v>
      </c>
    </row>
    <row r="301" spans="1:15" x14ac:dyDescent="0.2">
      <c r="A301">
        <v>299</v>
      </c>
      <c r="B301" s="11">
        <f t="shared" si="18"/>
        <v>0</v>
      </c>
      <c r="C301">
        <f ca="1">SUM($B$2:B301)/A301</f>
        <v>128.28581640958282</v>
      </c>
      <c r="E301">
        <v>299</v>
      </c>
      <c r="F301" s="11">
        <f t="shared" si="19"/>
        <v>0</v>
      </c>
      <c r="G301">
        <f ca="1">SUM($F$2:F301)/E301</f>
        <v>130.56572909371576</v>
      </c>
      <c r="I301">
        <v>299</v>
      </c>
      <c r="J301">
        <f t="shared" si="20"/>
        <v>0</v>
      </c>
      <c r="K301">
        <f ca="1">SUM($J$2:J301)/I301</f>
        <v>128.28581640958282</v>
      </c>
      <c r="M301">
        <v>299</v>
      </c>
      <c r="N301">
        <f t="shared" si="21"/>
        <v>0</v>
      </c>
      <c r="O301">
        <f ca="1">SUM($N$2:N301)/M301</f>
        <v>130.56572909371576</v>
      </c>
    </row>
    <row r="302" spans="1:15" x14ac:dyDescent="0.2">
      <c r="A302">
        <v>300</v>
      </c>
      <c r="B302" s="11">
        <f t="shared" si="18"/>
        <v>0</v>
      </c>
      <c r="C302">
        <f ca="1">SUM($B$2:B302)/A302</f>
        <v>127.85819702155088</v>
      </c>
      <c r="E302">
        <v>300</v>
      </c>
      <c r="F302" s="11">
        <f t="shared" si="19"/>
        <v>0</v>
      </c>
      <c r="G302">
        <f ca="1">SUM($F$2:F302)/E302</f>
        <v>130.13050999673669</v>
      </c>
      <c r="I302">
        <v>300</v>
      </c>
      <c r="J302">
        <f t="shared" si="20"/>
        <v>0</v>
      </c>
      <c r="K302">
        <f ca="1">SUM($J$2:J302)/I302</f>
        <v>127.85819702155088</v>
      </c>
      <c r="M302">
        <v>300</v>
      </c>
      <c r="N302">
        <f t="shared" si="21"/>
        <v>0</v>
      </c>
      <c r="O302">
        <f ca="1">SUM($N$2:N302)/M302</f>
        <v>130.13050999673669</v>
      </c>
    </row>
    <row r="303" spans="1:15" x14ac:dyDescent="0.2">
      <c r="A303">
        <v>301</v>
      </c>
      <c r="B303" s="11">
        <f t="shared" si="18"/>
        <v>0</v>
      </c>
      <c r="C303">
        <f ca="1">SUM($B$2:B303)/A303</f>
        <v>127.43341895835636</v>
      </c>
      <c r="E303">
        <v>301</v>
      </c>
      <c r="F303" s="11">
        <f t="shared" si="19"/>
        <v>0</v>
      </c>
      <c r="G303">
        <f ca="1">SUM($F$2:F303)/E303</f>
        <v>129.69818272100002</v>
      </c>
      <c r="I303">
        <v>301</v>
      </c>
      <c r="J303">
        <f t="shared" si="20"/>
        <v>0</v>
      </c>
      <c r="K303">
        <f ca="1">SUM($J$2:J303)/I303</f>
        <v>127.43341895835636</v>
      </c>
      <c r="M303">
        <v>301</v>
      </c>
      <c r="N303">
        <f t="shared" si="21"/>
        <v>0</v>
      </c>
      <c r="O303">
        <f ca="1">SUM($N$2:N303)/M303</f>
        <v>129.69818272100002</v>
      </c>
    </row>
    <row r="304" spans="1:15" x14ac:dyDescent="0.2">
      <c r="A304">
        <v>302</v>
      </c>
      <c r="B304" s="11">
        <f t="shared" si="18"/>
        <v>0</v>
      </c>
      <c r="C304">
        <f ca="1">SUM($B$2:B304)/A304</f>
        <v>127.01145399491809</v>
      </c>
      <c r="E304">
        <v>302</v>
      </c>
      <c r="F304" s="11">
        <f t="shared" si="19"/>
        <v>0</v>
      </c>
      <c r="G304">
        <f ca="1">SUM($F$2:F304)/E304</f>
        <v>129.26871853980467</v>
      </c>
      <c r="I304">
        <v>302</v>
      </c>
      <c r="J304">
        <f t="shared" si="20"/>
        <v>0</v>
      </c>
      <c r="K304">
        <f ca="1">SUM($J$2:J304)/I304</f>
        <v>127.01145399491809</v>
      </c>
      <c r="M304">
        <v>302</v>
      </c>
      <c r="N304">
        <f t="shared" si="21"/>
        <v>0</v>
      </c>
      <c r="O304">
        <f ca="1">SUM($N$2:N304)/M304</f>
        <v>129.26871853980467</v>
      </c>
    </row>
    <row r="305" spans="1:15" x14ac:dyDescent="0.2">
      <c r="A305">
        <v>303</v>
      </c>
      <c r="B305" s="11">
        <f t="shared" si="18"/>
        <v>0</v>
      </c>
      <c r="C305">
        <f ca="1">SUM($B$2:B305)/A305</f>
        <v>126.59227427876324</v>
      </c>
      <c r="E305">
        <v>303</v>
      </c>
      <c r="F305" s="11">
        <f t="shared" si="19"/>
        <v>0</v>
      </c>
      <c r="G305">
        <f ca="1">SUM($F$2:F305)/E305</f>
        <v>128.84208910567992</v>
      </c>
      <c r="I305">
        <v>303</v>
      </c>
      <c r="J305">
        <f t="shared" si="20"/>
        <v>0</v>
      </c>
      <c r="K305">
        <f ca="1">SUM($J$2:J305)/I305</f>
        <v>126.59227427876324</v>
      </c>
      <c r="M305">
        <v>303</v>
      </c>
      <c r="N305">
        <f t="shared" si="21"/>
        <v>0</v>
      </c>
      <c r="O305">
        <f ca="1">SUM($N$2:N305)/M305</f>
        <v>128.84208910567992</v>
      </c>
    </row>
    <row r="306" spans="1:15" x14ac:dyDescent="0.2">
      <c r="A306">
        <v>304</v>
      </c>
      <c r="B306" s="11">
        <f t="shared" si="18"/>
        <v>0</v>
      </c>
      <c r="C306">
        <f ca="1">SUM($B$2:B306)/A306</f>
        <v>126.17585232389889</v>
      </c>
      <c r="E306">
        <v>304</v>
      </c>
      <c r="F306" s="11">
        <f t="shared" si="19"/>
        <v>0</v>
      </c>
      <c r="G306">
        <f ca="1">SUM($F$2:F306)/E306</f>
        <v>128.41826644414806</v>
      </c>
      <c r="I306">
        <v>304</v>
      </c>
      <c r="J306">
        <f t="shared" si="20"/>
        <v>0</v>
      </c>
      <c r="K306">
        <f ca="1">SUM($J$2:J306)/I306</f>
        <v>126.17585232389889</v>
      </c>
      <c r="M306">
        <v>304</v>
      </c>
      <c r="N306">
        <f t="shared" si="21"/>
        <v>0</v>
      </c>
      <c r="O306">
        <f ca="1">SUM($N$2:N306)/M306</f>
        <v>128.41826644414806</v>
      </c>
    </row>
    <row r="307" spans="1:15" x14ac:dyDescent="0.2">
      <c r="A307">
        <v>305</v>
      </c>
      <c r="B307" s="11">
        <f t="shared" si="18"/>
        <v>0</v>
      </c>
      <c r="C307">
        <f ca="1">SUM($B$2:B307)/A307</f>
        <v>125.76216100480414</v>
      </c>
      <c r="E307">
        <v>305</v>
      </c>
      <c r="F307" s="11">
        <f t="shared" si="19"/>
        <v>0</v>
      </c>
      <c r="G307">
        <f ca="1">SUM($F$2:F307)/E307</f>
        <v>127.99722294760987</v>
      </c>
      <c r="I307">
        <v>305</v>
      </c>
      <c r="J307">
        <f t="shared" si="20"/>
        <v>0</v>
      </c>
      <c r="K307">
        <f ca="1">SUM($J$2:J307)/I307</f>
        <v>125.76216100480414</v>
      </c>
      <c r="M307">
        <v>305</v>
      </c>
      <c r="N307">
        <f t="shared" si="21"/>
        <v>0</v>
      </c>
      <c r="O307">
        <f ca="1">SUM($N$2:N307)/M307</f>
        <v>127.99722294760987</v>
      </c>
    </row>
    <row r="308" spans="1:15" x14ac:dyDescent="0.2">
      <c r="A308">
        <v>306</v>
      </c>
      <c r="B308" s="11">
        <f t="shared" si="18"/>
        <v>0</v>
      </c>
      <c r="C308">
        <f ca="1">SUM($B$2:B308)/A308</f>
        <v>125.35117355054008</v>
      </c>
      <c r="E308">
        <v>306</v>
      </c>
      <c r="F308" s="11">
        <f t="shared" si="19"/>
        <v>0</v>
      </c>
      <c r="G308">
        <f ca="1">SUM($F$2:F308)/E308</f>
        <v>127.5789313693497</v>
      </c>
      <c r="I308">
        <v>306</v>
      </c>
      <c r="J308">
        <f t="shared" si="20"/>
        <v>0</v>
      </c>
      <c r="K308">
        <f ca="1">SUM($J$2:J308)/I308</f>
        <v>125.35117355054008</v>
      </c>
      <c r="M308">
        <v>306</v>
      </c>
      <c r="N308">
        <f t="shared" si="21"/>
        <v>0</v>
      </c>
      <c r="O308">
        <f ca="1">SUM($N$2:N308)/M308</f>
        <v>127.5789313693497</v>
      </c>
    </row>
    <row r="309" spans="1:15" x14ac:dyDescent="0.2">
      <c r="A309">
        <v>307</v>
      </c>
      <c r="B309" s="11">
        <f t="shared" si="18"/>
        <v>0</v>
      </c>
      <c r="C309">
        <f ca="1">SUM($B$2:B309)/A309</f>
        <v>124.94286353897481</v>
      </c>
      <c r="E309">
        <v>307</v>
      </c>
      <c r="F309" s="11">
        <f t="shared" si="19"/>
        <v>0</v>
      </c>
      <c r="G309">
        <f ca="1">SUM($F$2:F309)/E309</f>
        <v>127.16336481765802</v>
      </c>
      <c r="I309">
        <v>307</v>
      </c>
      <c r="J309">
        <f t="shared" si="20"/>
        <v>0</v>
      </c>
      <c r="K309">
        <f ca="1">SUM($J$2:J309)/I309</f>
        <v>124.94286353897481</v>
      </c>
      <c r="M309">
        <v>307</v>
      </c>
      <c r="N309">
        <f t="shared" si="21"/>
        <v>0</v>
      </c>
      <c r="O309">
        <f ca="1">SUM($N$2:N309)/M309</f>
        <v>127.16336481765802</v>
      </c>
    </row>
    <row r="310" spans="1:15" x14ac:dyDescent="0.2">
      <c r="A310">
        <v>308</v>
      </c>
      <c r="B310" s="11">
        <f t="shared" si="18"/>
        <v>0</v>
      </c>
      <c r="C310">
        <f ca="1">SUM($B$2:B310)/A310</f>
        <v>124.53720489112098</v>
      </c>
      <c r="E310">
        <v>308</v>
      </c>
      <c r="F310" s="11">
        <f t="shared" si="19"/>
        <v>0</v>
      </c>
      <c r="G310">
        <f ca="1">SUM($F$2:F310)/E310</f>
        <v>126.75049675006822</v>
      </c>
      <c r="I310">
        <v>308</v>
      </c>
      <c r="J310">
        <f t="shared" si="20"/>
        <v>0</v>
      </c>
      <c r="K310">
        <f ca="1">SUM($J$2:J310)/I310</f>
        <v>124.53720489112098</v>
      </c>
      <c r="M310">
        <v>308</v>
      </c>
      <c r="N310">
        <f t="shared" si="21"/>
        <v>0</v>
      </c>
      <c r="O310">
        <f ca="1">SUM($N$2:N310)/M310</f>
        <v>126.75049675006822</v>
      </c>
    </row>
    <row r="311" spans="1:15" x14ac:dyDescent="0.2">
      <c r="A311">
        <v>309</v>
      </c>
      <c r="B311" s="11">
        <f t="shared" si="18"/>
        <v>0</v>
      </c>
      <c r="C311">
        <f ca="1">SUM($B$2:B311)/A311</f>
        <v>124.13417186558338</v>
      </c>
      <c r="E311">
        <v>309</v>
      </c>
      <c r="F311" s="11">
        <f t="shared" si="19"/>
        <v>0</v>
      </c>
      <c r="G311">
        <f ca="1">SUM($F$2:F311)/E311</f>
        <v>126.34030096770553</v>
      </c>
      <c r="I311">
        <v>309</v>
      </c>
      <c r="J311">
        <f t="shared" si="20"/>
        <v>0</v>
      </c>
      <c r="K311">
        <f ca="1">SUM($J$2:J311)/I311</f>
        <v>124.13417186558338</v>
      </c>
      <c r="M311">
        <v>309</v>
      </c>
      <c r="N311">
        <f t="shared" si="21"/>
        <v>0</v>
      </c>
      <c r="O311">
        <f ca="1">SUM($N$2:N311)/M311</f>
        <v>126.34030096770553</v>
      </c>
    </row>
    <row r="312" spans="1:15" x14ac:dyDescent="0.2">
      <c r="A312">
        <v>310</v>
      </c>
      <c r="B312" s="11">
        <f t="shared" si="18"/>
        <v>0</v>
      </c>
      <c r="C312">
        <f ca="1">SUM($B$2:B312)/A312</f>
        <v>123.73373905311375</v>
      </c>
      <c r="E312">
        <v>310</v>
      </c>
      <c r="F312" s="11">
        <f t="shared" si="19"/>
        <v>0</v>
      </c>
      <c r="G312">
        <f ca="1">SUM($F$2:F312)/E312</f>
        <v>125.9327516097452</v>
      </c>
      <c r="I312">
        <v>310</v>
      </c>
      <c r="J312">
        <f t="shared" si="20"/>
        <v>0</v>
      </c>
      <c r="K312">
        <f ca="1">SUM($J$2:J312)/I312</f>
        <v>123.73373905311375</v>
      </c>
      <c r="M312">
        <v>310</v>
      </c>
      <c r="N312">
        <f t="shared" si="21"/>
        <v>0</v>
      </c>
      <c r="O312">
        <f ca="1">SUM($N$2:N312)/M312</f>
        <v>125.9327516097452</v>
      </c>
    </row>
    <row r="313" spans="1:15" x14ac:dyDescent="0.2">
      <c r="A313">
        <v>311</v>
      </c>
      <c r="B313" s="11">
        <f t="shared" si="18"/>
        <v>0</v>
      </c>
      <c r="C313">
        <f ca="1">SUM($B$2:B313)/A313</f>
        <v>123.33588137127094</v>
      </c>
      <c r="E313">
        <v>311</v>
      </c>
      <c r="F313" s="11">
        <f t="shared" si="19"/>
        <v>0</v>
      </c>
      <c r="G313">
        <f ca="1">SUM($F$2:F313)/E313</f>
        <v>125.52782314797753</v>
      </c>
      <c r="I313">
        <v>311</v>
      </c>
      <c r="J313">
        <f t="shared" si="20"/>
        <v>0</v>
      </c>
      <c r="K313">
        <f ca="1">SUM($J$2:J313)/I313</f>
        <v>123.33588137127094</v>
      </c>
      <c r="M313">
        <v>311</v>
      </c>
      <c r="N313">
        <f t="shared" si="21"/>
        <v>0</v>
      </c>
      <c r="O313">
        <f ca="1">SUM($N$2:N313)/M313</f>
        <v>125.52782314797753</v>
      </c>
    </row>
    <row r="314" spans="1:15" x14ac:dyDescent="0.2">
      <c r="A314">
        <v>312</v>
      </c>
      <c r="B314" s="11">
        <f t="shared" si="18"/>
        <v>0</v>
      </c>
      <c r="C314">
        <f ca="1">SUM($B$2:B314)/A314</f>
        <v>122.94057405918353</v>
      </c>
      <c r="E314">
        <v>312</v>
      </c>
      <c r="F314" s="11">
        <f t="shared" si="19"/>
        <v>0</v>
      </c>
      <c r="G314">
        <f ca="1">SUM($F$2:F314)/E314</f>
        <v>125.1254903814776</v>
      </c>
      <c r="I314">
        <v>312</v>
      </c>
      <c r="J314">
        <f t="shared" si="20"/>
        <v>0</v>
      </c>
      <c r="K314">
        <f ca="1">SUM($J$2:J314)/I314</f>
        <v>122.94057405918353</v>
      </c>
      <c r="M314">
        <v>312</v>
      </c>
      <c r="N314">
        <f t="shared" si="21"/>
        <v>0</v>
      </c>
      <c r="O314">
        <f ca="1">SUM($N$2:N314)/M314</f>
        <v>125.1254903814776</v>
      </c>
    </row>
    <row r="315" spans="1:15" x14ac:dyDescent="0.2">
      <c r="A315">
        <v>313</v>
      </c>
      <c r="B315" s="11">
        <f t="shared" si="18"/>
        <v>0</v>
      </c>
      <c r="C315">
        <f ca="1">SUM($B$2:B315)/A315</f>
        <v>122.54779267241298</v>
      </c>
      <c r="E315">
        <v>313</v>
      </c>
      <c r="F315" s="11">
        <f t="shared" si="19"/>
        <v>0</v>
      </c>
      <c r="G315">
        <f ca="1">SUM($F$2:F315)/E315</f>
        <v>124.72572843137704</v>
      </c>
      <c r="I315">
        <v>313</v>
      </c>
      <c r="J315">
        <f t="shared" si="20"/>
        <v>0</v>
      </c>
      <c r="K315">
        <f ca="1">SUM($J$2:J315)/I315</f>
        <v>122.54779267241298</v>
      </c>
      <c r="M315">
        <v>313</v>
      </c>
      <c r="N315">
        <f t="shared" si="21"/>
        <v>0</v>
      </c>
      <c r="O315">
        <f ca="1">SUM($N$2:N315)/M315</f>
        <v>124.72572843137704</v>
      </c>
    </row>
    <row r="316" spans="1:15" x14ac:dyDescent="0.2">
      <c r="A316">
        <v>314</v>
      </c>
      <c r="B316" s="11">
        <f t="shared" si="18"/>
        <v>0</v>
      </c>
      <c r="C316">
        <f ca="1">SUM($B$2:B316)/A316</f>
        <v>122.15751307791486</v>
      </c>
      <c r="E316">
        <v>314</v>
      </c>
      <c r="F316" s="11">
        <f t="shared" si="19"/>
        <v>0</v>
      </c>
      <c r="G316">
        <f ca="1">SUM($F$2:F316)/E316</f>
        <v>124.3285127357357</v>
      </c>
      <c r="I316">
        <v>314</v>
      </c>
      <c r="J316">
        <f t="shared" si="20"/>
        <v>0</v>
      </c>
      <c r="K316">
        <f ca="1">SUM($J$2:J316)/I316</f>
        <v>122.15751307791486</v>
      </c>
      <c r="M316">
        <v>314</v>
      </c>
      <c r="N316">
        <f t="shared" si="21"/>
        <v>0</v>
      </c>
      <c r="O316">
        <f ca="1">SUM($N$2:N316)/M316</f>
        <v>124.3285127357357</v>
      </c>
    </row>
    <row r="317" spans="1:15" x14ac:dyDescent="0.2">
      <c r="A317">
        <v>315</v>
      </c>
      <c r="B317" s="11">
        <f t="shared" si="18"/>
        <v>0</v>
      </c>
      <c r="C317">
        <f ca="1">SUM($B$2:B317)/A317</f>
        <v>121.76971144909608</v>
      </c>
      <c r="E317">
        <v>315</v>
      </c>
      <c r="F317" s="11">
        <f t="shared" si="19"/>
        <v>0</v>
      </c>
      <c r="G317">
        <f ca="1">SUM($F$2:F317)/E317</f>
        <v>123.93381904451114</v>
      </c>
      <c r="I317">
        <v>315</v>
      </c>
      <c r="J317">
        <f t="shared" si="20"/>
        <v>0</v>
      </c>
      <c r="K317">
        <f ca="1">SUM($J$2:J317)/I317</f>
        <v>121.76971144909608</v>
      </c>
      <c r="M317">
        <v>315</v>
      </c>
      <c r="N317">
        <f t="shared" si="21"/>
        <v>0</v>
      </c>
      <c r="O317">
        <f ca="1">SUM($N$2:N317)/M317</f>
        <v>123.93381904451114</v>
      </c>
    </row>
    <row r="318" spans="1:15" x14ac:dyDescent="0.2">
      <c r="A318">
        <v>316</v>
      </c>
      <c r="B318" s="11">
        <f t="shared" si="18"/>
        <v>0</v>
      </c>
      <c r="C318">
        <f ca="1">SUM($B$2:B318)/A318</f>
        <v>121.38436426096602</v>
      </c>
      <c r="E318">
        <v>316</v>
      </c>
      <c r="F318" s="11">
        <f t="shared" si="19"/>
        <v>0</v>
      </c>
      <c r="G318">
        <f ca="1">SUM($F$2:F318)/E318</f>
        <v>123.54162341462346</v>
      </c>
      <c r="I318">
        <v>316</v>
      </c>
      <c r="J318">
        <f t="shared" si="20"/>
        <v>0</v>
      </c>
      <c r="K318">
        <f ca="1">SUM($J$2:J318)/I318</f>
        <v>121.38436426096602</v>
      </c>
      <c r="M318">
        <v>316</v>
      </c>
      <c r="N318">
        <f t="shared" si="21"/>
        <v>0</v>
      </c>
      <c r="O318">
        <f ca="1">SUM($N$2:N318)/M318</f>
        <v>123.54162341462346</v>
      </c>
    </row>
    <row r="319" spans="1:15" x14ac:dyDescent="0.2">
      <c r="A319">
        <v>317</v>
      </c>
      <c r="B319" s="11">
        <f t="shared" si="18"/>
        <v>0</v>
      </c>
      <c r="C319">
        <f ca="1">SUM($B$2:B319)/A319</f>
        <v>121.00144828537938</v>
      </c>
      <c r="E319">
        <v>317</v>
      </c>
      <c r="F319" s="11">
        <f t="shared" si="19"/>
        <v>0</v>
      </c>
      <c r="G319">
        <f ca="1">SUM($F$2:F319)/E319</f>
        <v>123.1519022051136</v>
      </c>
      <c r="I319">
        <v>317</v>
      </c>
      <c r="J319">
        <f t="shared" si="20"/>
        <v>0</v>
      </c>
      <c r="K319">
        <f ca="1">SUM($J$2:J319)/I319</f>
        <v>121.00144828537938</v>
      </c>
      <c r="M319">
        <v>317</v>
      </c>
      <c r="N319">
        <f t="shared" si="21"/>
        <v>0</v>
      </c>
      <c r="O319">
        <f ca="1">SUM($N$2:N319)/M319</f>
        <v>123.1519022051136</v>
      </c>
    </row>
    <row r="320" spans="1:15" x14ac:dyDescent="0.2">
      <c r="A320">
        <v>318</v>
      </c>
      <c r="B320" s="11">
        <f t="shared" si="18"/>
        <v>0</v>
      </c>
      <c r="C320">
        <f ca="1">SUM($B$2:B320)/A320</f>
        <v>120.62094058636875</v>
      </c>
      <c r="E320">
        <v>318</v>
      </c>
      <c r="F320" s="11">
        <f t="shared" si="19"/>
        <v>0</v>
      </c>
      <c r="G320">
        <f ca="1">SUM($F$2:F320)/E320</f>
        <v>122.76463207239311</v>
      </c>
      <c r="I320">
        <v>318</v>
      </c>
      <c r="J320">
        <f t="shared" si="20"/>
        <v>0</v>
      </c>
      <c r="K320">
        <f ca="1">SUM($J$2:J320)/I320</f>
        <v>120.62094058636875</v>
      </c>
      <c r="M320">
        <v>318</v>
      </c>
      <c r="N320">
        <f t="shared" si="21"/>
        <v>0</v>
      </c>
      <c r="O320">
        <f ca="1">SUM($N$2:N320)/M320</f>
        <v>122.76463207239311</v>
      </c>
    </row>
    <row r="321" spans="1:15" x14ac:dyDescent="0.2">
      <c r="A321">
        <v>319</v>
      </c>
      <c r="B321" s="11">
        <f t="shared" si="18"/>
        <v>0</v>
      </c>
      <c r="C321">
        <f ca="1">SUM($B$2:B321)/A321</f>
        <v>120.24281851556509</v>
      </c>
      <c r="E321">
        <v>319</v>
      </c>
      <c r="F321" s="11">
        <f t="shared" si="19"/>
        <v>0</v>
      </c>
      <c r="G321">
        <f ca="1">SUM($F$2:F321)/E321</f>
        <v>122.3797899655831</v>
      </c>
      <c r="I321">
        <v>319</v>
      </c>
      <c r="J321">
        <f t="shared" si="20"/>
        <v>0</v>
      </c>
      <c r="K321">
        <f ca="1">SUM($J$2:J321)/I321</f>
        <v>120.24281851556509</v>
      </c>
      <c r="M321">
        <v>319</v>
      </c>
      <c r="N321">
        <f t="shared" si="21"/>
        <v>0</v>
      </c>
      <c r="O321">
        <f ca="1">SUM($N$2:N321)/M321</f>
        <v>122.3797899655831</v>
      </c>
    </row>
    <row r="322" spans="1:15" x14ac:dyDescent="0.2">
      <c r="A322">
        <v>320</v>
      </c>
      <c r="B322" s="11">
        <f t="shared" si="18"/>
        <v>0</v>
      </c>
      <c r="C322">
        <f ca="1">SUM($B$2:B322)/A322</f>
        <v>119.86705970770394</v>
      </c>
      <c r="E322">
        <v>320</v>
      </c>
      <c r="F322" s="11">
        <f t="shared" si="19"/>
        <v>0</v>
      </c>
      <c r="G322">
        <f ca="1">SUM($F$2:F322)/E322</f>
        <v>121.99735312194066</v>
      </c>
      <c r="I322">
        <v>320</v>
      </c>
      <c r="J322">
        <f t="shared" si="20"/>
        <v>0</v>
      </c>
      <c r="K322">
        <f ca="1">SUM($J$2:J322)/I322</f>
        <v>119.86705970770394</v>
      </c>
      <c r="M322">
        <v>320</v>
      </c>
      <c r="N322">
        <f t="shared" si="21"/>
        <v>0</v>
      </c>
      <c r="O322">
        <f ca="1">SUM($N$2:N322)/M322</f>
        <v>121.99735312194066</v>
      </c>
    </row>
    <row r="323" spans="1:15" x14ac:dyDescent="0.2">
      <c r="A323">
        <v>321</v>
      </c>
      <c r="B323" s="11">
        <f t="shared" ref="B323:B386" si="22">IF(ARCap-IF((A323-IF(A323/180&gt;1,ROUNDDOWN(A323/180,0)*180,0))/30&lt;=1,IF(200*15*BaseSpeed/60*(YellowConnects+WhiteMHConnects+WhiteOHConnects+HoJConnects+WindfuryConnects+SSConnects+IronfoeConnects)*(A323-180*ROUNDDOWN(A323/180,0))&gt;1200,1200,200*15*BaseSpeed/60*(YellowConnects+WhiteMHConnects+WhiteOHConnects+HoJConnects+WindfuryConnects+SSConnects+IronfoeConnects)*(A323-180*ROUNDDOWN(A323/180,0))),0)&lt;0,ARCap,IF((A323-IF(A323/180&gt;1,ROUNDDOWN(A322/180,0)*180,0))/30&lt;=1,IF(200*15*BaseSpeed/60*(YellowConnects+WhiteMHConnects+WhiteOHConnects+HoJConnects+WindfuryConnects+SSConnects+IronfoeConnects)*(A323-180*ROUNDDOWN(A323/180,0))&gt;1200,1200,200*15*BaseSpeed/60*(YellowConnects+WhiteMHConnects+WhiteOHConnects+HoJConnects+WindfuryConnects+SSConnects+IronfoeConnects)*(A323-180*ROUNDDOWN(A323/180,0))),0))</f>
        <v>0</v>
      </c>
      <c r="C323">
        <f ca="1">SUM($B$2:B323)/A323</f>
        <v>119.49364207621578</v>
      </c>
      <c r="E323">
        <v>321</v>
      </c>
      <c r="F323" s="11">
        <f t="shared" ref="F323:F386" si="23">IF(ARCap-IF((A323-IF(A323/180&gt;1,ROUNDDOWN(A323/180,0)*180,0))/30&lt;=1,IF(200*15*BaseSpeed/60*(YellowConnects20+WhiteMHConnects20+WhiteOHConnects20+HoJConnects20+WindfuryConnects20+SSConnects20+IronfoeConnects20)*(A323-180*ROUNDDOWN(A323/180,0))&gt;1200,1200,200*15*BaseSpeed/60*(YellowConnects20+WhiteMHConnects20+WhiteOHConnects20+HoJConnects20+WindfuryConnects20+SSConnects20+IronfoeConnects20)*(A323-180*ROUNDDOWN(A323/180,0))),0)&lt;0,ARCap,IF((A323-IF(A323/180&gt;1,ROUNDDOWN(A323/180,0)*180,0))/30&lt;=1,IF(200*15*BaseSpeed/60*(YellowConnects20+WhiteMHConnects20+WhiteOHConnects20+HoJConnects20+WindfuryConnects20+SSConnects20+IronfoeConnects20)*(A323-180*ROUNDDOWN(A323/180,0))&gt;1200,1200,200*15*BaseSpeed/60*(YellowConnects20+WhiteMHConnects20+WhiteOHConnects20+HoJConnects20+WindfuryConnects20+SSConnects20+IronfoeConnects20)*(A323-180*ROUNDDOWN(A323/180,0))),0))</f>
        <v>0</v>
      </c>
      <c r="G323">
        <f ca="1">SUM($F$2:F323)/E323</f>
        <v>121.61729906237075</v>
      </c>
      <c r="I323">
        <v>321</v>
      </c>
      <c r="J323">
        <f t="shared" ref="J323:J386" si="24">IF(ARCap-(B323+BRE)&lt;0,ARCap,B323+BRE)</f>
        <v>0</v>
      </c>
      <c r="K323">
        <f ca="1">SUM($J$2:J323)/I323</f>
        <v>119.49364207621578</v>
      </c>
      <c r="M323">
        <v>321</v>
      </c>
      <c r="N323">
        <f t="shared" ref="N323:N386" si="25">IF(ARCap-(F323+BREArmorReduction20)&lt;0,ARCap,F323+BREArmorReduction20)</f>
        <v>0</v>
      </c>
      <c r="O323">
        <f ca="1">SUM($N$2:N323)/M323</f>
        <v>121.61729906237075</v>
      </c>
    </row>
    <row r="324" spans="1:15" x14ac:dyDescent="0.2">
      <c r="A324">
        <v>322</v>
      </c>
      <c r="B324" s="11">
        <f t="shared" si="22"/>
        <v>0</v>
      </c>
      <c r="C324">
        <f ca="1">SUM($B$2:B324)/A324</f>
        <v>119.12254380889833</v>
      </c>
      <c r="E324">
        <v>322</v>
      </c>
      <c r="F324" s="11">
        <f t="shared" si="23"/>
        <v>0</v>
      </c>
      <c r="G324">
        <f ca="1">SUM($F$2:F324)/E324</f>
        <v>121.23960558702177</v>
      </c>
      <c r="I324">
        <v>322</v>
      </c>
      <c r="J324">
        <f t="shared" si="24"/>
        <v>0</v>
      </c>
      <c r="K324">
        <f ca="1">SUM($J$2:J324)/I324</f>
        <v>119.12254380889833</v>
      </c>
      <c r="M324">
        <v>322</v>
      </c>
      <c r="N324">
        <f t="shared" si="25"/>
        <v>0</v>
      </c>
      <c r="O324">
        <f ca="1">SUM($N$2:N324)/M324</f>
        <v>121.23960558702177</v>
      </c>
    </row>
    <row r="325" spans="1:15" x14ac:dyDescent="0.2">
      <c r="A325">
        <v>323</v>
      </c>
      <c r="B325" s="11">
        <f t="shared" si="22"/>
        <v>0</v>
      </c>
      <c r="C325">
        <f ca="1">SUM($B$2:B325)/A325</f>
        <v>118.75374336366954</v>
      </c>
      <c r="E325">
        <v>323</v>
      </c>
      <c r="F325" s="11">
        <f t="shared" si="23"/>
        <v>0</v>
      </c>
      <c r="G325">
        <f ca="1">SUM($F$2:F325)/E325</f>
        <v>120.86425077096288</v>
      </c>
      <c r="I325">
        <v>323</v>
      </c>
      <c r="J325">
        <f t="shared" si="24"/>
        <v>0</v>
      </c>
      <c r="K325">
        <f ca="1">SUM($J$2:J325)/I325</f>
        <v>118.75374336366954</v>
      </c>
      <c r="M325">
        <v>323</v>
      </c>
      <c r="N325">
        <f t="shared" si="25"/>
        <v>0</v>
      </c>
      <c r="O325">
        <f ca="1">SUM($N$2:N325)/M325</f>
        <v>120.86425077096288</v>
      </c>
    </row>
    <row r="326" spans="1:15" x14ac:dyDescent="0.2">
      <c r="A326">
        <v>324</v>
      </c>
      <c r="B326" s="11">
        <f t="shared" si="22"/>
        <v>0</v>
      </c>
      <c r="C326">
        <f ca="1">SUM($B$2:B326)/A326</f>
        <v>118.38721946439897</v>
      </c>
      <c r="E326">
        <v>324</v>
      </c>
      <c r="F326" s="11">
        <f t="shared" si="23"/>
        <v>0</v>
      </c>
      <c r="G326">
        <f ca="1">SUM($F$2:F326)/E326</f>
        <v>120.49121295994139</v>
      </c>
      <c r="I326">
        <v>324</v>
      </c>
      <c r="J326">
        <f t="shared" si="24"/>
        <v>0</v>
      </c>
      <c r="K326">
        <f ca="1">SUM($J$2:J326)/I326</f>
        <v>118.38721946439897</v>
      </c>
      <c r="M326">
        <v>324</v>
      </c>
      <c r="N326">
        <f t="shared" si="25"/>
        <v>0</v>
      </c>
      <c r="O326">
        <f ca="1">SUM($N$2:N326)/M326</f>
        <v>120.49121295994139</v>
      </c>
    </row>
    <row r="327" spans="1:15" x14ac:dyDescent="0.2">
      <c r="A327">
        <v>325</v>
      </c>
      <c r="B327" s="11">
        <f t="shared" si="22"/>
        <v>0</v>
      </c>
      <c r="C327">
        <f ca="1">SUM($B$2:B327)/A327</f>
        <v>118.0229510968162</v>
      </c>
      <c r="E327">
        <v>325</v>
      </c>
      <c r="F327" s="11">
        <f t="shared" si="23"/>
        <v>0</v>
      </c>
      <c r="G327">
        <f ca="1">SUM($F$2:F327)/E327</f>
        <v>120.12047076621849</v>
      </c>
      <c r="I327">
        <v>325</v>
      </c>
      <c r="J327">
        <f t="shared" si="24"/>
        <v>0</v>
      </c>
      <c r="K327">
        <f ca="1">SUM($J$2:J327)/I327</f>
        <v>118.0229510968162</v>
      </c>
      <c r="M327">
        <v>325</v>
      </c>
      <c r="N327">
        <f t="shared" si="25"/>
        <v>0</v>
      </c>
      <c r="O327">
        <f ca="1">SUM($N$2:N327)/M327</f>
        <v>120.12047076621849</v>
      </c>
    </row>
    <row r="328" spans="1:15" x14ac:dyDescent="0.2">
      <c r="A328">
        <v>326</v>
      </c>
      <c r="B328" s="11">
        <f t="shared" si="22"/>
        <v>0</v>
      </c>
      <c r="C328">
        <f ca="1">SUM($B$2:B328)/A328</f>
        <v>117.66091750449468</v>
      </c>
      <c r="E328">
        <v>326</v>
      </c>
      <c r="F328" s="11">
        <f t="shared" si="23"/>
        <v>0</v>
      </c>
      <c r="G328">
        <f ca="1">SUM($F$2:F328)/E328</f>
        <v>119.75200306448163</v>
      </c>
      <c r="I328">
        <v>326</v>
      </c>
      <c r="J328">
        <f t="shared" si="24"/>
        <v>0</v>
      </c>
      <c r="K328">
        <f ca="1">SUM($J$2:J328)/I328</f>
        <v>117.66091750449468</v>
      </c>
      <c r="M328">
        <v>326</v>
      </c>
      <c r="N328">
        <f t="shared" si="25"/>
        <v>0</v>
      </c>
      <c r="O328">
        <f ca="1">SUM($N$2:N328)/M328</f>
        <v>119.75200306448163</v>
      </c>
    </row>
    <row r="329" spans="1:15" x14ac:dyDescent="0.2">
      <c r="A329">
        <v>327</v>
      </c>
      <c r="B329" s="11">
        <f t="shared" si="22"/>
        <v>0</v>
      </c>
      <c r="C329">
        <f ca="1">SUM($B$2:B329)/A329</f>
        <v>117.30109818490907</v>
      </c>
      <c r="E329">
        <v>327</v>
      </c>
      <c r="F329" s="11">
        <f t="shared" si="23"/>
        <v>0</v>
      </c>
      <c r="G329">
        <f ca="1">SUM($F$2:F329)/E329</f>
        <v>119.38578898783184</v>
      </c>
      <c r="I329">
        <v>327</v>
      </c>
      <c r="J329">
        <f t="shared" si="24"/>
        <v>0</v>
      </c>
      <c r="K329">
        <f ca="1">SUM($J$2:J329)/I329</f>
        <v>117.30109818490907</v>
      </c>
      <c r="M329">
        <v>327</v>
      </c>
      <c r="N329">
        <f t="shared" si="25"/>
        <v>0</v>
      </c>
      <c r="O329">
        <f ca="1">SUM($N$2:N329)/M329</f>
        <v>119.38578898783184</v>
      </c>
    </row>
    <row r="330" spans="1:15" x14ac:dyDescent="0.2">
      <c r="A330">
        <v>328</v>
      </c>
      <c r="B330" s="11">
        <f t="shared" si="22"/>
        <v>0</v>
      </c>
      <c r="C330">
        <f ca="1">SUM($B$2:B330)/A330</f>
        <v>116.94347288556483</v>
      </c>
      <c r="E330">
        <v>328</v>
      </c>
      <c r="F330" s="11">
        <f t="shared" si="23"/>
        <v>0</v>
      </c>
      <c r="G330">
        <f ca="1">SUM($F$2:F330)/E330</f>
        <v>119.02180792384455</v>
      </c>
      <c r="I330">
        <v>328</v>
      </c>
      <c r="J330">
        <f t="shared" si="24"/>
        <v>0</v>
      </c>
      <c r="K330">
        <f ca="1">SUM($J$2:J330)/I330</f>
        <v>116.94347288556483</v>
      </c>
      <c r="M330">
        <v>328</v>
      </c>
      <c r="N330">
        <f t="shared" si="25"/>
        <v>0</v>
      </c>
      <c r="O330">
        <f ca="1">SUM($N$2:N330)/M330</f>
        <v>119.02180792384455</v>
      </c>
    </row>
    <row r="331" spans="1:15" x14ac:dyDescent="0.2">
      <c r="A331">
        <v>329</v>
      </c>
      <c r="B331" s="11">
        <f t="shared" si="22"/>
        <v>0</v>
      </c>
      <c r="C331">
        <f ca="1">SUM($B$2:B331)/A331</f>
        <v>116.58802160019837</v>
      </c>
      <c r="E331">
        <v>329</v>
      </c>
      <c r="F331" s="11">
        <f t="shared" si="23"/>
        <v>0</v>
      </c>
      <c r="G331">
        <f ca="1">SUM($F$2:F331)/E331</f>
        <v>118.66003951070216</v>
      </c>
      <c r="I331">
        <v>329</v>
      </c>
      <c r="J331">
        <f t="shared" si="24"/>
        <v>0</v>
      </c>
      <c r="K331">
        <f ca="1">SUM($J$2:J331)/I331</f>
        <v>116.58802160019837</v>
      </c>
      <c r="M331">
        <v>329</v>
      </c>
      <c r="N331">
        <f t="shared" si="25"/>
        <v>0</v>
      </c>
      <c r="O331">
        <f ca="1">SUM($N$2:N331)/M331</f>
        <v>118.66003951070216</v>
      </c>
    </row>
    <row r="332" spans="1:15" x14ac:dyDescent="0.2">
      <c r="A332">
        <v>330</v>
      </c>
      <c r="B332" s="11">
        <f t="shared" si="22"/>
        <v>0</v>
      </c>
      <c r="C332">
        <f ca="1">SUM($B$2:B332)/A332</f>
        <v>116.23472456504625</v>
      </c>
      <c r="E332">
        <v>330</v>
      </c>
      <c r="F332" s="11">
        <f t="shared" si="23"/>
        <v>0</v>
      </c>
      <c r="G332">
        <f ca="1">SUM($F$2:F332)/E332</f>
        <v>118.300463633397</v>
      </c>
      <c r="I332">
        <v>330</v>
      </c>
      <c r="J332">
        <f t="shared" si="24"/>
        <v>0</v>
      </c>
      <c r="K332">
        <f ca="1">SUM($J$2:J332)/I332</f>
        <v>116.23472456504625</v>
      </c>
      <c r="M332">
        <v>330</v>
      </c>
      <c r="N332">
        <f t="shared" si="25"/>
        <v>0</v>
      </c>
      <c r="O332">
        <f ca="1">SUM($N$2:N332)/M332</f>
        <v>118.300463633397</v>
      </c>
    </row>
    <row r="333" spans="1:15" x14ac:dyDescent="0.2">
      <c r="A333">
        <v>331</v>
      </c>
      <c r="B333" s="11">
        <f t="shared" si="22"/>
        <v>0</v>
      </c>
      <c r="C333">
        <f ca="1">SUM($B$2:B333)/A333</f>
        <v>115.88356225518207</v>
      </c>
      <c r="E333">
        <v>331</v>
      </c>
      <c r="F333" s="11">
        <f t="shared" si="23"/>
        <v>0</v>
      </c>
      <c r="G333">
        <f ca="1">SUM($F$2:F333)/E333</f>
        <v>117.94306042000305</v>
      </c>
      <c r="I333">
        <v>331</v>
      </c>
      <c r="J333">
        <f t="shared" si="24"/>
        <v>0</v>
      </c>
      <c r="K333">
        <f ca="1">SUM($J$2:J333)/I333</f>
        <v>115.88356225518207</v>
      </c>
      <c r="M333">
        <v>331</v>
      </c>
      <c r="N333">
        <f t="shared" si="25"/>
        <v>0</v>
      </c>
      <c r="O333">
        <f ca="1">SUM($N$2:N333)/M333</f>
        <v>117.94306042000305</v>
      </c>
    </row>
    <row r="334" spans="1:15" x14ac:dyDescent="0.2">
      <c r="A334">
        <v>332</v>
      </c>
      <c r="B334" s="11">
        <f t="shared" si="22"/>
        <v>0</v>
      </c>
      <c r="C334">
        <f ca="1">SUM($B$2:B334)/A334</f>
        <v>115.53451538091947</v>
      </c>
      <c r="E334">
        <v>332</v>
      </c>
      <c r="F334" s="11">
        <f t="shared" si="23"/>
        <v>0</v>
      </c>
      <c r="G334">
        <f ca="1">SUM($F$2:F334)/E334</f>
        <v>117.58781023801509</v>
      </c>
      <c r="I334">
        <v>332</v>
      </c>
      <c r="J334">
        <f t="shared" si="24"/>
        <v>0</v>
      </c>
      <c r="K334">
        <f ca="1">SUM($J$2:J334)/I334</f>
        <v>115.53451538091947</v>
      </c>
      <c r="M334">
        <v>332</v>
      </c>
      <c r="N334">
        <f t="shared" si="25"/>
        <v>0</v>
      </c>
      <c r="O334">
        <f ca="1">SUM($N$2:N334)/M334</f>
        <v>117.58781023801509</v>
      </c>
    </row>
    <row r="335" spans="1:15" x14ac:dyDescent="0.2">
      <c r="A335">
        <v>333</v>
      </c>
      <c r="B335" s="11">
        <f t="shared" si="22"/>
        <v>0</v>
      </c>
      <c r="C335">
        <f ca="1">SUM($B$2:B335)/A335</f>
        <v>115.18756488428006</v>
      </c>
      <c r="E335">
        <v>333</v>
      </c>
      <c r="F335" s="11">
        <f t="shared" si="23"/>
        <v>0</v>
      </c>
      <c r="G335">
        <f ca="1">SUM($F$2:F335)/E335</f>
        <v>117.23469369075379</v>
      </c>
      <c r="I335">
        <v>333</v>
      </c>
      <c r="J335">
        <f t="shared" si="24"/>
        <v>0</v>
      </c>
      <c r="K335">
        <f ca="1">SUM($J$2:J335)/I335</f>
        <v>115.18756488428006</v>
      </c>
      <c r="M335">
        <v>333</v>
      </c>
      <c r="N335">
        <f t="shared" si="25"/>
        <v>0</v>
      </c>
      <c r="O335">
        <f ca="1">SUM($N$2:N335)/M335</f>
        <v>117.23469369075379</v>
      </c>
    </row>
    <row r="336" spans="1:15" x14ac:dyDescent="0.2">
      <c r="A336">
        <v>334</v>
      </c>
      <c r="B336" s="11">
        <f t="shared" si="22"/>
        <v>0</v>
      </c>
      <c r="C336">
        <f ca="1">SUM($B$2:B336)/A336</f>
        <v>114.84269193552474</v>
      </c>
      <c r="E336">
        <v>334</v>
      </c>
      <c r="F336" s="11">
        <f t="shared" si="23"/>
        <v>0</v>
      </c>
      <c r="G336">
        <f ca="1">SUM($F$2:F336)/E336</f>
        <v>116.88369161383537</v>
      </c>
      <c r="I336">
        <v>334</v>
      </c>
      <c r="J336">
        <f t="shared" si="24"/>
        <v>0</v>
      </c>
      <c r="K336">
        <f ca="1">SUM($J$2:J336)/I336</f>
        <v>114.84269193552474</v>
      </c>
      <c r="M336">
        <v>334</v>
      </c>
      <c r="N336">
        <f t="shared" si="25"/>
        <v>0</v>
      </c>
      <c r="O336">
        <f ca="1">SUM($N$2:N336)/M336</f>
        <v>116.88369161383537</v>
      </c>
    </row>
    <row r="337" spans="1:15" x14ac:dyDescent="0.2">
      <c r="A337">
        <v>335</v>
      </c>
      <c r="B337" s="11">
        <f t="shared" si="22"/>
        <v>0</v>
      </c>
      <c r="C337">
        <f ca="1">SUM($B$2:B337)/A337</f>
        <v>114.49987792974706</v>
      </c>
      <c r="E337">
        <v>335</v>
      </c>
      <c r="F337" s="11">
        <f t="shared" si="23"/>
        <v>0</v>
      </c>
      <c r="G337">
        <f ca="1">SUM($F$2:F337)/E337</f>
        <v>116.5347850717045</v>
      </c>
      <c r="I337">
        <v>335</v>
      </c>
      <c r="J337">
        <f t="shared" si="24"/>
        <v>0</v>
      </c>
      <c r="K337">
        <f ca="1">SUM($J$2:J337)/I337</f>
        <v>114.49987792974706</v>
      </c>
      <c r="M337">
        <v>335</v>
      </c>
      <c r="N337">
        <f t="shared" si="25"/>
        <v>0</v>
      </c>
      <c r="O337">
        <f ca="1">SUM($N$2:N337)/M337</f>
        <v>116.5347850717045</v>
      </c>
    </row>
    <row r="338" spans="1:15" x14ac:dyDescent="0.2">
      <c r="A338">
        <v>336</v>
      </c>
      <c r="B338" s="11">
        <f t="shared" si="22"/>
        <v>0</v>
      </c>
      <c r="C338">
        <f ca="1">SUM($B$2:B338)/A338</f>
        <v>114.15910448352757</v>
      </c>
      <c r="E338">
        <v>336</v>
      </c>
      <c r="F338" s="11">
        <f t="shared" si="23"/>
        <v>0</v>
      </c>
      <c r="G338">
        <f ca="1">SUM($F$2:F338)/E338</f>
        <v>116.1879553542292</v>
      </c>
      <c r="I338">
        <v>336</v>
      </c>
      <c r="J338">
        <f t="shared" si="24"/>
        <v>0</v>
      </c>
      <c r="K338">
        <f ca="1">SUM($J$2:J338)/I338</f>
        <v>114.15910448352757</v>
      </c>
      <c r="M338">
        <v>336</v>
      </c>
      <c r="N338">
        <f t="shared" si="25"/>
        <v>0</v>
      </c>
      <c r="O338">
        <f ca="1">SUM($N$2:N338)/M338</f>
        <v>116.1879553542292</v>
      </c>
    </row>
    <row r="339" spans="1:15" x14ac:dyDescent="0.2">
      <c r="A339">
        <v>337</v>
      </c>
      <c r="B339" s="11">
        <f t="shared" si="22"/>
        <v>0</v>
      </c>
      <c r="C339">
        <f ca="1">SUM($B$2:B339)/A339</f>
        <v>113.82035343164766</v>
      </c>
      <c r="E339">
        <v>337</v>
      </c>
      <c r="F339" s="11">
        <f t="shared" si="23"/>
        <v>0</v>
      </c>
      <c r="G339">
        <f ca="1">SUM($F$2:F339)/E339</f>
        <v>115.84318397335612</v>
      </c>
      <c r="I339">
        <v>337</v>
      </c>
      <c r="J339">
        <f t="shared" si="24"/>
        <v>0</v>
      </c>
      <c r="K339">
        <f ca="1">SUM($J$2:J339)/I339</f>
        <v>113.82035343164766</v>
      </c>
      <c r="M339">
        <v>337</v>
      </c>
      <c r="N339">
        <f t="shared" si="25"/>
        <v>0</v>
      </c>
      <c r="O339">
        <f ca="1">SUM($N$2:N339)/M339</f>
        <v>115.84318397335612</v>
      </c>
    </row>
    <row r="340" spans="1:15" x14ac:dyDescent="0.2">
      <c r="A340">
        <v>338</v>
      </c>
      <c r="B340" s="11">
        <f t="shared" si="22"/>
        <v>0</v>
      </c>
      <c r="C340">
        <f ca="1">SUM($B$2:B340)/A340</f>
        <v>113.48360682386172</v>
      </c>
      <c r="E340">
        <v>338</v>
      </c>
      <c r="F340" s="11">
        <f t="shared" si="23"/>
        <v>0</v>
      </c>
      <c r="G340">
        <f ca="1">SUM($F$2:F340)/E340</f>
        <v>115.50045265982547</v>
      </c>
      <c r="I340">
        <v>338</v>
      </c>
      <c r="J340">
        <f t="shared" si="24"/>
        <v>0</v>
      </c>
      <c r="K340">
        <f ca="1">SUM($J$2:J340)/I340</f>
        <v>113.48360682386172</v>
      </c>
      <c r="M340">
        <v>338</v>
      </c>
      <c r="N340">
        <f t="shared" si="25"/>
        <v>0</v>
      </c>
      <c r="O340">
        <f ca="1">SUM($N$2:N340)/M340</f>
        <v>115.50045265982547</v>
      </c>
    </row>
    <row r="341" spans="1:15" x14ac:dyDescent="0.2">
      <c r="A341">
        <v>339</v>
      </c>
      <c r="B341" s="11">
        <f t="shared" si="22"/>
        <v>0</v>
      </c>
      <c r="C341">
        <f ca="1">SUM($B$2:B341)/A341</f>
        <v>113.14884692172645</v>
      </c>
      <c r="E341">
        <v>339</v>
      </c>
      <c r="F341" s="11">
        <f t="shared" si="23"/>
        <v>0</v>
      </c>
      <c r="G341">
        <f ca="1">SUM($F$2:F341)/E341</f>
        <v>115.15974335994399</v>
      </c>
      <c r="I341">
        <v>339</v>
      </c>
      <c r="J341">
        <f t="shared" si="24"/>
        <v>0</v>
      </c>
      <c r="K341">
        <f ca="1">SUM($J$2:J341)/I341</f>
        <v>113.14884692172645</v>
      </c>
      <c r="M341">
        <v>339</v>
      </c>
      <c r="N341">
        <f t="shared" si="25"/>
        <v>0</v>
      </c>
      <c r="O341">
        <f ca="1">SUM($N$2:N341)/M341</f>
        <v>115.15974335994399</v>
      </c>
    </row>
    <row r="342" spans="1:15" x14ac:dyDescent="0.2">
      <c r="A342">
        <v>340</v>
      </c>
      <c r="B342" s="11">
        <f t="shared" si="22"/>
        <v>0</v>
      </c>
      <c r="C342">
        <f ca="1">SUM($B$2:B342)/A342</f>
        <v>112.81605619548607</v>
      </c>
      <c r="E342">
        <v>340</v>
      </c>
      <c r="F342" s="11">
        <f t="shared" si="23"/>
        <v>0</v>
      </c>
      <c r="G342">
        <f ca="1">SUM($F$2:F342)/E342</f>
        <v>114.82103823241474</v>
      </c>
      <c r="I342">
        <v>340</v>
      </c>
      <c r="J342">
        <f t="shared" si="24"/>
        <v>0</v>
      </c>
      <c r="K342">
        <f ca="1">SUM($J$2:J342)/I342</f>
        <v>112.81605619548607</v>
      </c>
      <c r="M342">
        <v>340</v>
      </c>
      <c r="N342">
        <f t="shared" si="25"/>
        <v>0</v>
      </c>
      <c r="O342">
        <f ca="1">SUM($N$2:N342)/M342</f>
        <v>114.82103823241474</v>
      </c>
    </row>
    <row r="343" spans="1:15" x14ac:dyDescent="0.2">
      <c r="A343">
        <v>341</v>
      </c>
      <c r="B343" s="11">
        <f t="shared" si="22"/>
        <v>0</v>
      </c>
      <c r="C343">
        <f ca="1">SUM($B$2:B343)/A343</f>
        <v>112.4852173210125</v>
      </c>
      <c r="E343">
        <v>341</v>
      </c>
      <c r="F343" s="11">
        <f t="shared" si="23"/>
        <v>0</v>
      </c>
      <c r="G343">
        <f ca="1">SUM($F$2:F343)/E343</f>
        <v>114.48431964522291</v>
      </c>
      <c r="I343">
        <v>341</v>
      </c>
      <c r="J343">
        <f t="shared" si="24"/>
        <v>0</v>
      </c>
      <c r="K343">
        <f ca="1">SUM($J$2:J343)/I343</f>
        <v>112.4852173210125</v>
      </c>
      <c r="M343">
        <v>341</v>
      </c>
      <c r="N343">
        <f t="shared" si="25"/>
        <v>0</v>
      </c>
      <c r="O343">
        <f ca="1">SUM($N$2:N343)/M343</f>
        <v>114.48431964522291</v>
      </c>
    </row>
    <row r="344" spans="1:15" x14ac:dyDescent="0.2">
      <c r="A344">
        <v>342</v>
      </c>
      <c r="B344" s="11">
        <f t="shared" si="22"/>
        <v>0</v>
      </c>
      <c r="C344">
        <f ca="1">SUM($B$2:B344)/A344</f>
        <v>112.15631317679902</v>
      </c>
      <c r="E344">
        <v>342</v>
      </c>
      <c r="F344" s="11">
        <f t="shared" si="23"/>
        <v>0</v>
      </c>
      <c r="G344">
        <f ca="1">SUM($F$2:F344)/E344</f>
        <v>114.14957017257606</v>
      </c>
      <c r="I344">
        <v>342</v>
      </c>
      <c r="J344">
        <f t="shared" si="24"/>
        <v>0</v>
      </c>
      <c r="K344">
        <f ca="1">SUM($J$2:J344)/I344</f>
        <v>112.15631317679902</v>
      </c>
      <c r="M344">
        <v>342</v>
      </c>
      <c r="N344">
        <f t="shared" si="25"/>
        <v>0</v>
      </c>
      <c r="O344">
        <f ca="1">SUM($N$2:N344)/M344</f>
        <v>114.14957017257606</v>
      </c>
    </row>
    <row r="345" spans="1:15" x14ac:dyDescent="0.2">
      <c r="A345">
        <v>343</v>
      </c>
      <c r="B345" s="11">
        <f t="shared" si="22"/>
        <v>0</v>
      </c>
      <c r="C345">
        <f ca="1">SUM($B$2:B345)/A345</f>
        <v>111.8293268410066</v>
      </c>
      <c r="E345">
        <v>343</v>
      </c>
      <c r="F345" s="11">
        <f t="shared" si="23"/>
        <v>0</v>
      </c>
      <c r="G345">
        <f ca="1">SUM($F$2:F345)/E345</f>
        <v>113.81677259189799</v>
      </c>
      <c r="I345">
        <v>343</v>
      </c>
      <c r="J345">
        <f t="shared" si="24"/>
        <v>0</v>
      </c>
      <c r="K345">
        <f ca="1">SUM($J$2:J345)/I345</f>
        <v>111.8293268410066</v>
      </c>
      <c r="M345">
        <v>343</v>
      </c>
      <c r="N345">
        <f t="shared" si="25"/>
        <v>0</v>
      </c>
      <c r="O345">
        <f ca="1">SUM($N$2:N345)/M345</f>
        <v>113.81677259189799</v>
      </c>
    </row>
    <row r="346" spans="1:15" x14ac:dyDescent="0.2">
      <c r="A346">
        <v>344</v>
      </c>
      <c r="B346" s="11">
        <f t="shared" si="22"/>
        <v>0</v>
      </c>
      <c r="C346">
        <f ca="1">SUM($B$2:B346)/A346</f>
        <v>111.50424158856181</v>
      </c>
      <c r="E346">
        <v>344</v>
      </c>
      <c r="F346" s="11">
        <f t="shared" si="23"/>
        <v>0</v>
      </c>
      <c r="G346">
        <f ca="1">SUM($F$2:F346)/E346</f>
        <v>113.48590988087503</v>
      </c>
      <c r="I346">
        <v>344</v>
      </c>
      <c r="J346">
        <f t="shared" si="24"/>
        <v>0</v>
      </c>
      <c r="K346">
        <f ca="1">SUM($J$2:J346)/I346</f>
        <v>111.50424158856181</v>
      </c>
      <c r="M346">
        <v>344</v>
      </c>
      <c r="N346">
        <f t="shared" si="25"/>
        <v>0</v>
      </c>
      <c r="O346">
        <f ca="1">SUM($N$2:N346)/M346</f>
        <v>113.48590988087503</v>
      </c>
    </row>
    <row r="347" spans="1:15" x14ac:dyDescent="0.2">
      <c r="A347">
        <v>345</v>
      </c>
      <c r="B347" s="11">
        <f t="shared" si="22"/>
        <v>0</v>
      </c>
      <c r="C347">
        <f ca="1">SUM($B$2:B347)/A347</f>
        <v>111.18104088830511</v>
      </c>
      <c r="E347">
        <v>345</v>
      </c>
      <c r="F347" s="11">
        <f t="shared" si="23"/>
        <v>0</v>
      </c>
      <c r="G347">
        <f ca="1">SUM($F$2:F347)/E347</f>
        <v>113.15696521455365</v>
      </c>
      <c r="I347">
        <v>345</v>
      </c>
      <c r="J347">
        <f t="shared" si="24"/>
        <v>0</v>
      </c>
      <c r="K347">
        <f ca="1">SUM($J$2:J347)/I347</f>
        <v>111.18104088830511</v>
      </c>
      <c r="M347">
        <v>345</v>
      </c>
      <c r="N347">
        <f t="shared" si="25"/>
        <v>0</v>
      </c>
      <c r="O347">
        <f ca="1">SUM($N$2:N347)/M347</f>
        <v>113.15696521455365</v>
      </c>
    </row>
    <row r="348" spans="1:15" x14ac:dyDescent="0.2">
      <c r="A348">
        <v>346</v>
      </c>
      <c r="B348" s="11">
        <f t="shared" si="22"/>
        <v>0</v>
      </c>
      <c r="C348">
        <f ca="1">SUM($B$2:B348)/A348</f>
        <v>110.85970840018862</v>
      </c>
      <c r="E348">
        <v>346</v>
      </c>
      <c r="F348" s="11">
        <f t="shared" si="23"/>
        <v>0</v>
      </c>
      <c r="G348">
        <f ca="1">SUM($F$2:F348)/E348</f>
        <v>112.82992196248847</v>
      </c>
      <c r="I348">
        <v>346</v>
      </c>
      <c r="J348">
        <f t="shared" si="24"/>
        <v>0</v>
      </c>
      <c r="K348">
        <f ca="1">SUM($J$2:J348)/I348</f>
        <v>110.85970840018862</v>
      </c>
      <c r="M348">
        <v>346</v>
      </c>
      <c r="N348">
        <f t="shared" si="25"/>
        <v>0</v>
      </c>
      <c r="O348">
        <f ca="1">SUM($N$2:N348)/M348</f>
        <v>112.82992196248847</v>
      </c>
    </row>
    <row r="349" spans="1:15" x14ac:dyDescent="0.2">
      <c r="A349">
        <v>347</v>
      </c>
      <c r="B349" s="11">
        <f t="shared" si="22"/>
        <v>0</v>
      </c>
      <c r="C349">
        <f ca="1">SUM($B$2:B349)/A349</f>
        <v>110.54022797252237</v>
      </c>
      <c r="E349">
        <v>347</v>
      </c>
      <c r="F349" s="11">
        <f t="shared" si="23"/>
        <v>0</v>
      </c>
      <c r="G349">
        <f ca="1">SUM($F$2:F349)/E349</f>
        <v>112.50476368593951</v>
      </c>
      <c r="I349">
        <v>347</v>
      </c>
      <c r="J349">
        <f t="shared" si="24"/>
        <v>0</v>
      </c>
      <c r="K349">
        <f ca="1">SUM($J$2:J349)/I349</f>
        <v>110.54022797252237</v>
      </c>
      <c r="M349">
        <v>347</v>
      </c>
      <c r="N349">
        <f t="shared" si="25"/>
        <v>0</v>
      </c>
      <c r="O349">
        <f ca="1">SUM($N$2:N349)/M349</f>
        <v>112.50476368593951</v>
      </c>
    </row>
    <row r="350" spans="1:15" x14ac:dyDescent="0.2">
      <c r="A350">
        <v>348</v>
      </c>
      <c r="B350" s="11">
        <f t="shared" si="22"/>
        <v>0</v>
      </c>
      <c r="C350">
        <f ca="1">SUM($B$2:B350)/A350</f>
        <v>110.222583639268</v>
      </c>
      <c r="E350">
        <v>348</v>
      </c>
      <c r="F350" s="11">
        <f t="shared" si="23"/>
        <v>0</v>
      </c>
      <c r="G350">
        <f ca="1">SUM($F$2:F350)/E350</f>
        <v>112.18147413511785</v>
      </c>
      <c r="I350">
        <v>348</v>
      </c>
      <c r="J350">
        <f t="shared" si="24"/>
        <v>0</v>
      </c>
      <c r="K350">
        <f ca="1">SUM($J$2:J350)/I350</f>
        <v>110.222583639268</v>
      </c>
      <c r="M350">
        <v>348</v>
      </c>
      <c r="N350">
        <f t="shared" si="25"/>
        <v>0</v>
      </c>
      <c r="O350">
        <f ca="1">SUM($N$2:N350)/M350</f>
        <v>112.18147413511785</v>
      </c>
    </row>
    <row r="351" spans="1:15" x14ac:dyDescent="0.2">
      <c r="A351">
        <v>349</v>
      </c>
      <c r="B351" s="11">
        <f t="shared" si="22"/>
        <v>0</v>
      </c>
      <c r="C351">
        <f ca="1">SUM($B$2:B351)/A351</f>
        <v>109.90675961737898</v>
      </c>
      <c r="E351">
        <v>349</v>
      </c>
      <c r="F351" s="11">
        <f t="shared" si="23"/>
        <v>0</v>
      </c>
      <c r="G351">
        <f ca="1">SUM($F$2:F351)/E351</f>
        <v>111.86003724647854</v>
      </c>
      <c r="I351">
        <v>349</v>
      </c>
      <c r="J351">
        <f t="shared" si="24"/>
        <v>0</v>
      </c>
      <c r="K351">
        <f ca="1">SUM($J$2:J351)/I351</f>
        <v>109.90675961737898</v>
      </c>
      <c r="M351">
        <v>349</v>
      </c>
      <c r="N351">
        <f t="shared" si="25"/>
        <v>0</v>
      </c>
      <c r="O351">
        <f ca="1">SUM($N$2:N351)/M351</f>
        <v>111.86003724647854</v>
      </c>
    </row>
    <row r="352" spans="1:15" x14ac:dyDescent="0.2">
      <c r="A352">
        <v>350</v>
      </c>
      <c r="B352" s="11">
        <f t="shared" si="22"/>
        <v>0</v>
      </c>
      <c r="C352">
        <f ca="1">SUM($B$2:B352)/A352</f>
        <v>109.59274030418646</v>
      </c>
      <c r="E352">
        <v>350</v>
      </c>
      <c r="F352" s="11">
        <f t="shared" si="23"/>
        <v>0</v>
      </c>
      <c r="G352">
        <f ca="1">SUM($F$2:F352)/E352</f>
        <v>111.54043714006004</v>
      </c>
      <c r="I352">
        <v>350</v>
      </c>
      <c r="J352">
        <f t="shared" si="24"/>
        <v>0</v>
      </c>
      <c r="K352">
        <f ca="1">SUM($J$2:J352)/I352</f>
        <v>109.59274030418646</v>
      </c>
      <c r="M352">
        <v>350</v>
      </c>
      <c r="N352">
        <f t="shared" si="25"/>
        <v>0</v>
      </c>
      <c r="O352">
        <f ca="1">SUM($N$2:N352)/M352</f>
        <v>111.54043714006004</v>
      </c>
    </row>
    <row r="353" spans="1:15" x14ac:dyDescent="0.2">
      <c r="A353">
        <v>351</v>
      </c>
      <c r="B353" s="11">
        <f t="shared" si="22"/>
        <v>0</v>
      </c>
      <c r="C353">
        <f ca="1">SUM($B$2:B353)/A353</f>
        <v>109.28051027482981</v>
      </c>
      <c r="E353">
        <v>351</v>
      </c>
      <c r="F353" s="11">
        <f t="shared" si="23"/>
        <v>0</v>
      </c>
      <c r="G353">
        <f ca="1">SUM($F$2:F353)/E353</f>
        <v>111.22265811686897</v>
      </c>
      <c r="I353">
        <v>351</v>
      </c>
      <c r="J353">
        <f t="shared" si="24"/>
        <v>0</v>
      </c>
      <c r="K353">
        <f ca="1">SUM($J$2:J353)/I353</f>
        <v>109.28051027482981</v>
      </c>
      <c r="M353">
        <v>351</v>
      </c>
      <c r="N353">
        <f t="shared" si="25"/>
        <v>0</v>
      </c>
      <c r="O353">
        <f ca="1">SUM($N$2:N353)/M353</f>
        <v>111.22265811686897</v>
      </c>
    </row>
    <row r="354" spans="1:15" x14ac:dyDescent="0.2">
      <c r="A354">
        <v>352</v>
      </c>
      <c r="B354" s="11">
        <f t="shared" si="22"/>
        <v>0</v>
      </c>
      <c r="C354">
        <f ca="1">SUM($B$2:B354)/A354</f>
        <v>108.97005427973086</v>
      </c>
      <c r="E354">
        <v>352</v>
      </c>
      <c r="F354" s="11">
        <f t="shared" si="23"/>
        <v>0</v>
      </c>
      <c r="G354">
        <f ca="1">SUM($F$2:F354)/E354</f>
        <v>110.90668465630969</v>
      </c>
      <c r="I354">
        <v>352</v>
      </c>
      <c r="J354">
        <f t="shared" si="24"/>
        <v>0</v>
      </c>
      <c r="K354">
        <f ca="1">SUM($J$2:J354)/I354</f>
        <v>108.97005427973086</v>
      </c>
      <c r="M354">
        <v>352</v>
      </c>
      <c r="N354">
        <f t="shared" si="25"/>
        <v>0</v>
      </c>
      <c r="O354">
        <f ca="1">SUM($N$2:N354)/M354</f>
        <v>110.90668465630969</v>
      </c>
    </row>
    <row r="355" spans="1:15" x14ac:dyDescent="0.2">
      <c r="A355">
        <v>353</v>
      </c>
      <c r="B355" s="11">
        <f t="shared" si="22"/>
        <v>0</v>
      </c>
      <c r="C355">
        <f ca="1">SUM($B$2:B355)/A355</f>
        <v>108.66135724211122</v>
      </c>
      <c r="E355">
        <v>353</v>
      </c>
      <c r="F355" s="11">
        <f t="shared" si="23"/>
        <v>0</v>
      </c>
      <c r="G355">
        <f ca="1">SUM($F$2:F355)/E355</f>
        <v>110.59250141365726</v>
      </c>
      <c r="I355">
        <v>353</v>
      </c>
      <c r="J355">
        <f t="shared" si="24"/>
        <v>0</v>
      </c>
      <c r="K355">
        <f ca="1">SUM($J$2:J355)/I355</f>
        <v>108.66135724211122</v>
      </c>
      <c r="M355">
        <v>353</v>
      </c>
      <c r="N355">
        <f t="shared" si="25"/>
        <v>0</v>
      </c>
      <c r="O355">
        <f ca="1">SUM($N$2:N355)/M355</f>
        <v>110.59250141365726</v>
      </c>
    </row>
    <row r="356" spans="1:15" x14ac:dyDescent="0.2">
      <c r="A356">
        <v>354</v>
      </c>
      <c r="B356" s="11">
        <f t="shared" si="22"/>
        <v>0</v>
      </c>
      <c r="C356">
        <f ca="1">SUM($B$2:B356)/A356</f>
        <v>108.35440425555159</v>
      </c>
      <c r="E356">
        <v>354</v>
      </c>
      <c r="F356" s="11">
        <f t="shared" si="23"/>
        <v>0</v>
      </c>
      <c r="G356">
        <f ca="1">SUM($F$2:F356)/E356</f>
        <v>110.28009321757348</v>
      </c>
      <c r="I356">
        <v>354</v>
      </c>
      <c r="J356">
        <f t="shared" si="24"/>
        <v>0</v>
      </c>
      <c r="K356">
        <f ca="1">SUM($J$2:J356)/I356</f>
        <v>108.35440425555159</v>
      </c>
      <c r="M356">
        <v>354</v>
      </c>
      <c r="N356">
        <f t="shared" si="25"/>
        <v>0</v>
      </c>
      <c r="O356">
        <f ca="1">SUM($N$2:N356)/M356</f>
        <v>110.28009321757348</v>
      </c>
    </row>
    <row r="357" spans="1:15" x14ac:dyDescent="0.2">
      <c r="A357">
        <v>355</v>
      </c>
      <c r="B357" s="11">
        <f t="shared" si="22"/>
        <v>0</v>
      </c>
      <c r="C357">
        <f ca="1">SUM($B$2:B357)/A357</f>
        <v>108.0491805815923</v>
      </c>
      <c r="E357">
        <v>355</v>
      </c>
      <c r="F357" s="11">
        <f t="shared" si="23"/>
        <v>0</v>
      </c>
      <c r="G357">
        <f ca="1">SUM($F$2:F357)/E357</f>
        <v>109.96944506766482</v>
      </c>
      <c r="I357">
        <v>355</v>
      </c>
      <c r="J357">
        <f t="shared" si="24"/>
        <v>0</v>
      </c>
      <c r="K357">
        <f ca="1">SUM($J$2:J357)/I357</f>
        <v>108.0491805815923</v>
      </c>
      <c r="M357">
        <v>355</v>
      </c>
      <c r="N357">
        <f t="shared" si="25"/>
        <v>0</v>
      </c>
      <c r="O357">
        <f ca="1">SUM($N$2:N357)/M357</f>
        <v>109.96944506766482</v>
      </c>
    </row>
    <row r="358" spans="1:15" x14ac:dyDescent="0.2">
      <c r="A358">
        <v>356</v>
      </c>
      <c r="B358" s="11">
        <f t="shared" si="22"/>
        <v>0</v>
      </c>
      <c r="C358">
        <f ca="1">SUM($B$2:B358)/A358</f>
        <v>107.74567164737434</v>
      </c>
      <c r="E358">
        <v>356</v>
      </c>
      <c r="F358" s="11">
        <f t="shared" si="23"/>
        <v>0</v>
      </c>
      <c r="G358">
        <f ca="1">SUM($F$2:F358)/E358</f>
        <v>109.66054213208149</v>
      </c>
      <c r="I358">
        <v>356</v>
      </c>
      <c r="J358">
        <f t="shared" si="24"/>
        <v>0</v>
      </c>
      <c r="K358">
        <f ca="1">SUM($J$2:J358)/I358</f>
        <v>107.74567164737434</v>
      </c>
      <c r="M358">
        <v>356</v>
      </c>
      <c r="N358">
        <f t="shared" si="25"/>
        <v>0</v>
      </c>
      <c r="O358">
        <f ca="1">SUM($N$2:N358)/M358</f>
        <v>109.66054213208149</v>
      </c>
    </row>
    <row r="359" spans="1:15" x14ac:dyDescent="0.2">
      <c r="A359">
        <v>357</v>
      </c>
      <c r="B359" s="11">
        <f t="shared" si="22"/>
        <v>0</v>
      </c>
      <c r="C359">
        <f ca="1">SUM($B$2:B359)/A359</f>
        <v>107.44386304332006</v>
      </c>
      <c r="E359">
        <v>357</v>
      </c>
      <c r="F359" s="11">
        <f t="shared" si="23"/>
        <v>0</v>
      </c>
      <c r="G359">
        <f ca="1">SUM($F$2:F359)/E359</f>
        <v>109.3533697451569</v>
      </c>
      <c r="I359">
        <v>357</v>
      </c>
      <c r="J359">
        <f t="shared" si="24"/>
        <v>0</v>
      </c>
      <c r="K359">
        <f ca="1">SUM($J$2:J359)/I359</f>
        <v>107.44386304332006</v>
      </c>
      <c r="M359">
        <v>357</v>
      </c>
      <c r="N359">
        <f t="shared" si="25"/>
        <v>0</v>
      </c>
      <c r="O359">
        <f ca="1">SUM($N$2:N359)/M359</f>
        <v>109.3533697451569</v>
      </c>
    </row>
    <row r="360" spans="1:15" x14ac:dyDescent="0.2">
      <c r="A360">
        <v>358</v>
      </c>
      <c r="B360" s="11">
        <f t="shared" si="22"/>
        <v>0</v>
      </c>
      <c r="C360">
        <f ca="1">SUM($B$2:B360)/A360</f>
        <v>107.14374052085269</v>
      </c>
      <c r="E360">
        <v>358</v>
      </c>
      <c r="F360" s="11">
        <f t="shared" si="23"/>
        <v>0</v>
      </c>
      <c r="G360">
        <f ca="1">SUM($F$2:F360)/E360</f>
        <v>109.04791340508662</v>
      </c>
      <c r="I360">
        <v>358</v>
      </c>
      <c r="J360">
        <f t="shared" si="24"/>
        <v>0</v>
      </c>
      <c r="K360">
        <f ca="1">SUM($J$2:J360)/I360</f>
        <v>107.14374052085269</v>
      </c>
      <c r="M360">
        <v>358</v>
      </c>
      <c r="N360">
        <f t="shared" si="25"/>
        <v>0</v>
      </c>
      <c r="O360">
        <f ca="1">SUM($N$2:N360)/M360</f>
        <v>109.04791340508662</v>
      </c>
    </row>
    <row r="361" spans="1:15" x14ac:dyDescent="0.2">
      <c r="A361">
        <v>359</v>
      </c>
      <c r="B361" s="11">
        <f t="shared" si="22"/>
        <v>0</v>
      </c>
      <c r="C361">
        <f ca="1">SUM($B$2:B361)/A361</f>
        <v>106.84528999015393</v>
      </c>
      <c r="E361">
        <v>359</v>
      </c>
      <c r="F361" s="11">
        <f t="shared" si="23"/>
        <v>0</v>
      </c>
      <c r="G361">
        <f ca="1">SUM($F$2:F361)/E361</f>
        <v>108.74415877164627</v>
      </c>
      <c r="I361">
        <v>359</v>
      </c>
      <c r="J361">
        <f t="shared" si="24"/>
        <v>0</v>
      </c>
      <c r="K361">
        <f ca="1">SUM($J$2:J361)/I361</f>
        <v>106.84528999015393</v>
      </c>
      <c r="M361">
        <v>359</v>
      </c>
      <c r="N361">
        <f t="shared" si="25"/>
        <v>0</v>
      </c>
      <c r="O361">
        <f ca="1">SUM($N$2:N361)/M361</f>
        <v>108.74415877164627</v>
      </c>
    </row>
    <row r="362" spans="1:15" x14ac:dyDescent="0.2">
      <c r="A362">
        <v>360</v>
      </c>
      <c r="B362" s="11">
        <f t="shared" ca="1" si="22"/>
        <v>0</v>
      </c>
      <c r="C362">
        <f ca="1">SUM($B$2:B362)/A362</f>
        <v>106.54849751795906</v>
      </c>
      <c r="E362">
        <v>360</v>
      </c>
      <c r="F362" s="11">
        <f t="shared" ca="1" si="23"/>
        <v>0</v>
      </c>
      <c r="G362">
        <f ca="1">SUM($F$2:F362)/E362</f>
        <v>108.44209166394725</v>
      </c>
      <c r="I362">
        <v>360</v>
      </c>
      <c r="J362">
        <f t="shared" ca="1" si="24"/>
        <v>0</v>
      </c>
      <c r="K362">
        <f ca="1">SUM($J$2:J362)/I362</f>
        <v>106.54849751795906</v>
      </c>
      <c r="M362">
        <v>360</v>
      </c>
      <c r="N362">
        <f t="shared" ca="1" si="25"/>
        <v>0</v>
      </c>
      <c r="O362">
        <f ca="1">SUM($N$2:N362)/M362</f>
        <v>108.44209166394725</v>
      </c>
    </row>
    <row r="363" spans="1:15" x14ac:dyDescent="0.2">
      <c r="A363">
        <v>361</v>
      </c>
      <c r="B363" s="11">
        <f t="shared" ca="1" si="22"/>
        <v>118.58197021550885</v>
      </c>
      <c r="C363">
        <f ca="1">SUM($B$2:B363)/A363</f>
        <v>106.58183123734285</v>
      </c>
      <c r="E363">
        <v>361</v>
      </c>
      <c r="F363" s="11">
        <f t="shared" ca="1" si="23"/>
        <v>142.35764995105063</v>
      </c>
      <c r="G363">
        <f ca="1">SUM($F$2:F363)/E363</f>
        <v>108.53604057886999</v>
      </c>
      <c r="I363">
        <v>361</v>
      </c>
      <c r="J363">
        <f t="shared" ca="1" si="24"/>
        <v>118.58197021550885</v>
      </c>
      <c r="K363">
        <f ca="1">SUM($J$2:J363)/I363</f>
        <v>106.58183123734285</v>
      </c>
      <c r="M363">
        <v>361</v>
      </c>
      <c r="N363">
        <f t="shared" ca="1" si="25"/>
        <v>142.35764995105063</v>
      </c>
      <c r="O363">
        <f ca="1">SUM($N$2:N363)/M363</f>
        <v>108.53604057886999</v>
      </c>
    </row>
    <row r="364" spans="1:15" x14ac:dyDescent="0.2">
      <c r="A364">
        <v>362</v>
      </c>
      <c r="B364" s="11">
        <f t="shared" ca="1" si="22"/>
        <v>237.16394043101769</v>
      </c>
      <c r="C364">
        <f ca="1">SUM($B$2:B364)/A364</f>
        <v>106.94255529588892</v>
      </c>
      <c r="E364">
        <v>362</v>
      </c>
      <c r="F364" s="11">
        <f t="shared" ca="1" si="23"/>
        <v>284.71529990210126</v>
      </c>
      <c r="G364">
        <f ca="1">SUM($F$2:F364)/E364</f>
        <v>109.02272361567448</v>
      </c>
      <c r="I364">
        <v>362</v>
      </c>
      <c r="J364">
        <f t="shared" ca="1" si="24"/>
        <v>237.16394043101769</v>
      </c>
      <c r="K364">
        <f ca="1">SUM($J$2:J364)/I364</f>
        <v>106.94255529588892</v>
      </c>
      <c r="M364">
        <v>362</v>
      </c>
      <c r="N364">
        <f t="shared" ca="1" si="25"/>
        <v>284.71529990210126</v>
      </c>
      <c r="O364">
        <f ca="1">SUM($N$2:N364)/M364</f>
        <v>109.02272361567448</v>
      </c>
    </row>
    <row r="365" spans="1:15" x14ac:dyDescent="0.2">
      <c r="A365">
        <v>363</v>
      </c>
      <c r="B365" s="11">
        <f t="shared" ca="1" si="22"/>
        <v>355.74591064652657</v>
      </c>
      <c r="C365">
        <f ca="1">SUM($B$2:B365)/A365</f>
        <v>107.62796398831492</v>
      </c>
      <c r="E365">
        <v>363</v>
      </c>
      <c r="F365" s="11">
        <f t="shared" ca="1" si="23"/>
        <v>427.0729498531519</v>
      </c>
      <c r="G365">
        <f ca="1">SUM($F$2:F365)/E365</f>
        <v>109.89889503781629</v>
      </c>
      <c r="I365">
        <v>363</v>
      </c>
      <c r="J365">
        <f t="shared" ca="1" si="24"/>
        <v>355.74591064652657</v>
      </c>
      <c r="K365">
        <f ca="1">SUM($J$2:J365)/I365</f>
        <v>107.62796398831492</v>
      </c>
      <c r="M365">
        <v>363</v>
      </c>
      <c r="N365">
        <f t="shared" ca="1" si="25"/>
        <v>427.0729498531519</v>
      </c>
      <c r="O365">
        <f ca="1">SUM($N$2:N365)/M365</f>
        <v>109.89889503781629</v>
      </c>
    </row>
    <row r="366" spans="1:15" x14ac:dyDescent="0.2">
      <c r="A366">
        <v>364</v>
      </c>
      <c r="B366" s="11">
        <f t="shared" ca="1" si="22"/>
        <v>474.32788086203539</v>
      </c>
      <c r="C366">
        <f ca="1">SUM($B$2:B366)/A366</f>
        <v>108.6353813423636</v>
      </c>
      <c r="E366">
        <v>364</v>
      </c>
      <c r="F366" s="11">
        <f t="shared" ca="1" si="23"/>
        <v>569.43059980420253</v>
      </c>
      <c r="G366">
        <f ca="1">SUM($F$2:F366)/E366</f>
        <v>111.16134477618549</v>
      </c>
      <c r="I366">
        <v>364</v>
      </c>
      <c r="J366">
        <f t="shared" ca="1" si="24"/>
        <v>474.32788086203539</v>
      </c>
      <c r="K366">
        <f ca="1">SUM($J$2:J366)/I366</f>
        <v>108.6353813423636</v>
      </c>
      <c r="M366">
        <v>364</v>
      </c>
      <c r="N366">
        <f t="shared" ca="1" si="25"/>
        <v>569.43059980420253</v>
      </c>
      <c r="O366">
        <f ca="1">SUM($N$2:N366)/M366</f>
        <v>111.16134477618549</v>
      </c>
    </row>
    <row r="367" spans="1:15" x14ac:dyDescent="0.2">
      <c r="A367">
        <v>365</v>
      </c>
      <c r="B367" s="11">
        <f t="shared" ca="1" si="22"/>
        <v>592.9098510775442</v>
      </c>
      <c r="C367">
        <f ca="1">SUM($B$2:B367)/A367</f>
        <v>109.96216071150108</v>
      </c>
      <c r="E367">
        <v>365</v>
      </c>
      <c r="F367" s="11">
        <f t="shared" ca="1" si="23"/>
        <v>696</v>
      </c>
      <c r="G367">
        <f ca="1">SUM($F$2:F367)/E367</f>
        <v>112.76364246173019</v>
      </c>
      <c r="I367">
        <v>365</v>
      </c>
      <c r="J367">
        <f t="shared" ca="1" si="24"/>
        <v>592.9098510775442</v>
      </c>
      <c r="K367">
        <f ca="1">SUM($J$2:J367)/I367</f>
        <v>109.96216071150108</v>
      </c>
      <c r="M367">
        <v>365</v>
      </c>
      <c r="N367">
        <f t="shared" ca="1" si="25"/>
        <v>696</v>
      </c>
      <c r="O367">
        <f ca="1">SUM($N$2:N367)/M367</f>
        <v>112.76364246173019</v>
      </c>
    </row>
    <row r="368" spans="1:15" x14ac:dyDescent="0.2">
      <c r="A368">
        <v>366</v>
      </c>
      <c r="B368" s="11">
        <f t="shared" ca="1" si="22"/>
        <v>696</v>
      </c>
      <c r="C368">
        <f ca="1">SUM($B$2:B368)/A368</f>
        <v>111.5633569937101</v>
      </c>
      <c r="E368">
        <v>366</v>
      </c>
      <c r="F368" s="11">
        <f t="shared" ca="1" si="23"/>
        <v>696</v>
      </c>
      <c r="G368">
        <f ca="1">SUM($F$2:F368)/E368</f>
        <v>114.35718442221726</v>
      </c>
      <c r="I368">
        <v>366</v>
      </c>
      <c r="J368">
        <f t="shared" ca="1" si="24"/>
        <v>696</v>
      </c>
      <c r="K368">
        <f ca="1">SUM($J$2:J368)/I368</f>
        <v>111.5633569937101</v>
      </c>
      <c r="M368">
        <v>366</v>
      </c>
      <c r="N368">
        <f t="shared" ca="1" si="25"/>
        <v>696</v>
      </c>
      <c r="O368">
        <f ca="1">SUM($N$2:N368)/M368</f>
        <v>114.35718442221726</v>
      </c>
    </row>
    <row r="369" spans="1:15" x14ac:dyDescent="0.2">
      <c r="A369">
        <v>367</v>
      </c>
      <c r="B369" s="11">
        <f t="shared" ca="1" si="22"/>
        <v>696</v>
      </c>
      <c r="C369">
        <f ca="1">SUM($B$2:B369)/A369</f>
        <v>113.15582741062097</v>
      </c>
      <c r="E369">
        <v>367</v>
      </c>
      <c r="F369" s="11">
        <f t="shared" ca="1" si="23"/>
        <v>696</v>
      </c>
      <c r="G369">
        <f ca="1">SUM($F$2:F369)/E369</f>
        <v>115.94204223033111</v>
      </c>
      <c r="I369">
        <v>367</v>
      </c>
      <c r="J369">
        <f t="shared" ca="1" si="24"/>
        <v>696</v>
      </c>
      <c r="K369">
        <f ca="1">SUM($J$2:J369)/I369</f>
        <v>113.15582741062097</v>
      </c>
      <c r="M369">
        <v>367</v>
      </c>
      <c r="N369">
        <f t="shared" ca="1" si="25"/>
        <v>696</v>
      </c>
      <c r="O369">
        <f ca="1">SUM($N$2:N369)/M369</f>
        <v>115.94204223033111</v>
      </c>
    </row>
    <row r="370" spans="1:15" x14ac:dyDescent="0.2">
      <c r="A370">
        <v>368</v>
      </c>
      <c r="B370" s="11">
        <f t="shared" ca="1" si="22"/>
        <v>696</v>
      </c>
      <c r="C370">
        <f ca="1">SUM($B$2:B370)/A370</f>
        <v>114.73964309700514</v>
      </c>
      <c r="E370">
        <v>368</v>
      </c>
      <c r="F370" s="11">
        <f t="shared" ca="1" si="23"/>
        <v>696</v>
      </c>
      <c r="G370">
        <f ca="1">SUM($F$2:F370)/E370</f>
        <v>117.51828668079216</v>
      </c>
      <c r="I370">
        <v>368</v>
      </c>
      <c r="J370">
        <f t="shared" ca="1" si="24"/>
        <v>696</v>
      </c>
      <c r="K370">
        <f ca="1">SUM($J$2:J370)/I370</f>
        <v>114.73964309700514</v>
      </c>
      <c r="M370">
        <v>368</v>
      </c>
      <c r="N370">
        <f t="shared" ca="1" si="25"/>
        <v>696</v>
      </c>
      <c r="O370">
        <f ca="1">SUM($N$2:N370)/M370</f>
        <v>117.51828668079216</v>
      </c>
    </row>
    <row r="371" spans="1:15" x14ac:dyDescent="0.2">
      <c r="A371">
        <v>369</v>
      </c>
      <c r="B371" s="11">
        <f t="shared" ca="1" si="22"/>
        <v>696</v>
      </c>
      <c r="C371">
        <f ca="1">SUM($B$2:B371)/A371</f>
        <v>116.31487441652546</v>
      </c>
      <c r="E371">
        <v>369</v>
      </c>
      <c r="F371" s="11">
        <f t="shared" ca="1" si="23"/>
        <v>696</v>
      </c>
      <c r="G371">
        <f ca="1">SUM($F$2:F371)/E371</f>
        <v>119.08598780089842</v>
      </c>
      <c r="I371">
        <v>369</v>
      </c>
      <c r="J371">
        <f t="shared" ca="1" si="24"/>
        <v>696</v>
      </c>
      <c r="K371">
        <f ca="1">SUM($J$2:J371)/I371</f>
        <v>116.31487441652546</v>
      </c>
      <c r="M371">
        <v>369</v>
      </c>
      <c r="N371">
        <f t="shared" ca="1" si="25"/>
        <v>696</v>
      </c>
      <c r="O371">
        <f ca="1">SUM($N$2:N371)/M371</f>
        <v>119.08598780089842</v>
      </c>
    </row>
    <row r="372" spans="1:15" x14ac:dyDescent="0.2">
      <c r="A372">
        <v>370</v>
      </c>
      <c r="B372" s="11">
        <f t="shared" ca="1" si="22"/>
        <v>696</v>
      </c>
      <c r="C372">
        <f ca="1">SUM($B$2:B372)/A372</f>
        <v>117.88159097215647</v>
      </c>
      <c r="E372">
        <v>370</v>
      </c>
      <c r="F372" s="11">
        <f t="shared" ca="1" si="23"/>
        <v>696</v>
      </c>
      <c r="G372">
        <f ca="1">SUM($F$2:F372)/E372</f>
        <v>120.64521486089599</v>
      </c>
      <c r="I372">
        <v>370</v>
      </c>
      <c r="J372">
        <f t="shared" ca="1" si="24"/>
        <v>696</v>
      </c>
      <c r="K372">
        <f ca="1">SUM($J$2:J372)/I372</f>
        <v>117.88159097215647</v>
      </c>
      <c r="M372">
        <v>370</v>
      </c>
      <c r="N372">
        <f t="shared" ca="1" si="25"/>
        <v>696</v>
      </c>
      <c r="O372">
        <f ca="1">SUM($N$2:N372)/M372</f>
        <v>120.64521486089599</v>
      </c>
    </row>
    <row r="373" spans="1:15" x14ac:dyDescent="0.2">
      <c r="A373">
        <v>371</v>
      </c>
      <c r="B373" s="11">
        <f t="shared" ca="1" si="22"/>
        <v>696</v>
      </c>
      <c r="C373">
        <f ca="1">SUM($B$2:B373)/A373</f>
        <v>119.43986161643637</v>
      </c>
      <c r="E373">
        <v>371</v>
      </c>
      <c r="F373" s="11">
        <f t="shared" ca="1" si="23"/>
        <v>696</v>
      </c>
      <c r="G373">
        <f ca="1">SUM($F$2:F373)/E373</f>
        <v>122.19603638418198</v>
      </c>
      <c r="I373">
        <v>371</v>
      </c>
      <c r="J373">
        <f t="shared" ca="1" si="24"/>
        <v>696</v>
      </c>
      <c r="K373">
        <f ca="1">SUM($J$2:J373)/I373</f>
        <v>119.43986161643637</v>
      </c>
      <c r="M373">
        <v>371</v>
      </c>
      <c r="N373">
        <f t="shared" ca="1" si="25"/>
        <v>696</v>
      </c>
      <c r="O373">
        <f ca="1">SUM($N$2:N373)/M373</f>
        <v>122.19603638418198</v>
      </c>
    </row>
    <row r="374" spans="1:15" x14ac:dyDescent="0.2">
      <c r="A374">
        <v>372</v>
      </c>
      <c r="B374" s="11">
        <f t="shared" ca="1" si="22"/>
        <v>696</v>
      </c>
      <c r="C374">
        <f ca="1">SUM($B$2:B374)/A374</f>
        <v>120.98975446155347</v>
      </c>
      <c r="E374">
        <v>372</v>
      </c>
      <c r="F374" s="11">
        <f t="shared" ca="1" si="23"/>
        <v>696</v>
      </c>
      <c r="G374">
        <f ca="1">SUM($F$2:F374)/E374</f>
        <v>123.73852015734279</v>
      </c>
      <c r="I374">
        <v>372</v>
      </c>
      <c r="J374">
        <f t="shared" ca="1" si="24"/>
        <v>696</v>
      </c>
      <c r="K374">
        <f ca="1">SUM($J$2:J374)/I374</f>
        <v>120.98975446155347</v>
      </c>
      <c r="M374">
        <v>372</v>
      </c>
      <c r="N374">
        <f t="shared" ca="1" si="25"/>
        <v>696</v>
      </c>
      <c r="O374">
        <f ca="1">SUM($N$2:N374)/M374</f>
        <v>123.73852015734279</v>
      </c>
    </row>
    <row r="375" spans="1:15" x14ac:dyDescent="0.2">
      <c r="A375">
        <v>373</v>
      </c>
      <c r="B375" s="11">
        <f t="shared" ca="1" si="22"/>
        <v>696</v>
      </c>
      <c r="C375">
        <f ca="1">SUM($B$2:B375)/A375</f>
        <v>122.53133688927049</v>
      </c>
      <c r="E375">
        <v>373</v>
      </c>
      <c r="F375" s="11">
        <f t="shared" ca="1" si="23"/>
        <v>696</v>
      </c>
      <c r="G375">
        <f ca="1">SUM($F$2:F375)/E375</f>
        <v>125.27273324003087</v>
      </c>
      <c r="I375">
        <v>373</v>
      </c>
      <c r="J375">
        <f t="shared" ca="1" si="24"/>
        <v>696</v>
      </c>
      <c r="K375">
        <f ca="1">SUM($J$2:J375)/I375</f>
        <v>122.53133688927049</v>
      </c>
      <c r="M375">
        <v>373</v>
      </c>
      <c r="N375">
        <f t="shared" ca="1" si="25"/>
        <v>696</v>
      </c>
      <c r="O375">
        <f ca="1">SUM($N$2:N375)/M375</f>
        <v>125.27273324003087</v>
      </c>
    </row>
    <row r="376" spans="1:15" x14ac:dyDescent="0.2">
      <c r="A376">
        <v>374</v>
      </c>
      <c r="B376" s="11">
        <f t="shared" ca="1" si="22"/>
        <v>696</v>
      </c>
      <c r="C376">
        <f ca="1">SUM($B$2:B376)/A376</f>
        <v>124.06467556068957</v>
      </c>
      <c r="E376">
        <v>374</v>
      </c>
      <c r="F376" s="11">
        <f t="shared" ca="1" si="23"/>
        <v>696</v>
      </c>
      <c r="G376">
        <f ca="1">SUM($F$2:F376)/E376</f>
        <v>126.7987419746832</v>
      </c>
      <c r="I376">
        <v>374</v>
      </c>
      <c r="J376">
        <f t="shared" ca="1" si="24"/>
        <v>696</v>
      </c>
      <c r="K376">
        <f ca="1">SUM($J$2:J376)/I376</f>
        <v>124.06467556068957</v>
      </c>
      <c r="M376">
        <v>374</v>
      </c>
      <c r="N376">
        <f t="shared" ca="1" si="25"/>
        <v>696</v>
      </c>
      <c r="O376">
        <f ca="1">SUM($N$2:N376)/M376</f>
        <v>126.7987419746832</v>
      </c>
    </row>
    <row r="377" spans="1:15" x14ac:dyDescent="0.2">
      <c r="A377">
        <v>375</v>
      </c>
      <c r="B377" s="11">
        <f t="shared" ca="1" si="22"/>
        <v>696</v>
      </c>
      <c r="C377">
        <f ca="1">SUM($B$2:B377)/A377</f>
        <v>125.58983642586105</v>
      </c>
      <c r="E377">
        <v>375</v>
      </c>
      <c r="F377" s="11">
        <f t="shared" ca="1" si="23"/>
        <v>696</v>
      </c>
      <c r="G377">
        <f ca="1">SUM($F$2:F377)/E377</f>
        <v>128.31661199608405</v>
      </c>
      <c r="I377">
        <v>375</v>
      </c>
      <c r="J377">
        <f t="shared" ca="1" si="24"/>
        <v>696</v>
      </c>
      <c r="K377">
        <f ca="1">SUM($J$2:J377)/I377</f>
        <v>125.58983642586105</v>
      </c>
      <c r="M377">
        <v>375</v>
      </c>
      <c r="N377">
        <f t="shared" ca="1" si="25"/>
        <v>696</v>
      </c>
      <c r="O377">
        <f ca="1">SUM($N$2:N377)/M377</f>
        <v>128.31661199608405</v>
      </c>
    </row>
    <row r="378" spans="1:15" x14ac:dyDescent="0.2">
      <c r="A378">
        <v>376</v>
      </c>
      <c r="B378" s="11">
        <f t="shared" ca="1" si="22"/>
        <v>696</v>
      </c>
      <c r="C378">
        <f ca="1">SUM($B$2:B378)/A378</f>
        <v>127.10688473323908</v>
      </c>
      <c r="E378">
        <v>376</v>
      </c>
      <c r="F378" s="11">
        <f t="shared" ca="1" si="23"/>
        <v>696</v>
      </c>
      <c r="G378">
        <f ca="1">SUM($F$2:F378)/E378</f>
        <v>129.82640824077532</v>
      </c>
      <c r="I378">
        <v>376</v>
      </c>
      <c r="J378">
        <f t="shared" ca="1" si="24"/>
        <v>696</v>
      </c>
      <c r="K378">
        <f ca="1">SUM($J$2:J378)/I378</f>
        <v>127.10688473323908</v>
      </c>
      <c r="M378">
        <v>376</v>
      </c>
      <c r="N378">
        <f t="shared" ca="1" si="25"/>
        <v>696</v>
      </c>
      <c r="O378">
        <f ca="1">SUM($N$2:N378)/M378</f>
        <v>129.82640824077532</v>
      </c>
    </row>
    <row r="379" spans="1:15" x14ac:dyDescent="0.2">
      <c r="A379">
        <v>377</v>
      </c>
      <c r="B379" s="11">
        <f t="shared" ca="1" si="22"/>
        <v>696</v>
      </c>
      <c r="C379">
        <f ca="1">SUM($B$2:B379)/A379</f>
        <v>128.61588503898645</v>
      </c>
      <c r="E379">
        <v>377</v>
      </c>
      <c r="F379" s="11">
        <f t="shared" ca="1" si="23"/>
        <v>696</v>
      </c>
      <c r="G379">
        <f ca="1">SUM($F$2:F379)/E379</f>
        <v>131.32819495631702</v>
      </c>
      <c r="I379">
        <v>377</v>
      </c>
      <c r="J379">
        <f t="shared" ca="1" si="24"/>
        <v>696</v>
      </c>
      <c r="K379">
        <f ca="1">SUM($J$2:J379)/I379</f>
        <v>128.61588503898645</v>
      </c>
      <c r="M379">
        <v>377</v>
      </c>
      <c r="N379">
        <f t="shared" ca="1" si="25"/>
        <v>696</v>
      </c>
      <c r="O379">
        <f ca="1">SUM($N$2:N379)/M379</f>
        <v>131.32819495631702</v>
      </c>
    </row>
    <row r="380" spans="1:15" x14ac:dyDescent="0.2">
      <c r="A380">
        <v>378</v>
      </c>
      <c r="B380" s="11">
        <f t="shared" ca="1" si="22"/>
        <v>696</v>
      </c>
      <c r="C380">
        <f ca="1">SUM($B$2:B380)/A380</f>
        <v>130.11690121613199</v>
      </c>
      <c r="E380">
        <v>378</v>
      </c>
      <c r="F380" s="11">
        <f t="shared" ca="1" si="23"/>
        <v>696</v>
      </c>
      <c r="G380">
        <f ca="1">SUM($F$2:F380)/E380</f>
        <v>132.82203571040083</v>
      </c>
      <c r="I380">
        <v>378</v>
      </c>
      <c r="J380">
        <f t="shared" ca="1" si="24"/>
        <v>696</v>
      </c>
      <c r="K380">
        <f ca="1">SUM($J$2:J380)/I380</f>
        <v>130.11690121613199</v>
      </c>
      <c r="M380">
        <v>378</v>
      </c>
      <c r="N380">
        <f t="shared" ca="1" si="25"/>
        <v>696</v>
      </c>
      <c r="O380">
        <f ca="1">SUM($N$2:N380)/M380</f>
        <v>132.82203571040083</v>
      </c>
    </row>
    <row r="381" spans="1:15" x14ac:dyDescent="0.2">
      <c r="A381">
        <v>379</v>
      </c>
      <c r="B381" s="11">
        <f t="shared" ca="1" si="22"/>
        <v>696</v>
      </c>
      <c r="C381">
        <f ca="1">SUM($B$2:B381)/A381</f>
        <v>131.60999646358283</v>
      </c>
      <c r="E381">
        <v>379</v>
      </c>
      <c r="F381" s="11">
        <f t="shared" ca="1" si="23"/>
        <v>696</v>
      </c>
      <c r="G381">
        <f ca="1">SUM($F$2:F381)/E381</f>
        <v>134.30799339981931</v>
      </c>
      <c r="I381">
        <v>379</v>
      </c>
      <c r="J381">
        <f t="shared" ca="1" si="24"/>
        <v>696</v>
      </c>
      <c r="K381">
        <f ca="1">SUM($J$2:J381)/I381</f>
        <v>131.60999646358283</v>
      </c>
      <c r="M381">
        <v>379</v>
      </c>
      <c r="N381">
        <f t="shared" ca="1" si="25"/>
        <v>696</v>
      </c>
      <c r="O381">
        <f ca="1">SUM($N$2:N381)/M381</f>
        <v>134.30799339981931</v>
      </c>
    </row>
    <row r="382" spans="1:15" x14ac:dyDescent="0.2">
      <c r="A382">
        <v>380</v>
      </c>
      <c r="B382" s="11">
        <f t="shared" ca="1" si="22"/>
        <v>696</v>
      </c>
      <c r="C382">
        <f ca="1">SUM($B$2:B382)/A382</f>
        <v>133.09523331499446</v>
      </c>
      <c r="E382">
        <v>380</v>
      </c>
      <c r="F382" s="11">
        <f t="shared" ca="1" si="23"/>
        <v>696</v>
      </c>
      <c r="G382">
        <f ca="1">SUM($F$2:F382)/E382</f>
        <v>135.78613025929346</v>
      </c>
      <c r="I382">
        <v>380</v>
      </c>
      <c r="J382">
        <f t="shared" ca="1" si="24"/>
        <v>696</v>
      </c>
      <c r="K382">
        <f ca="1">SUM($J$2:J382)/I382</f>
        <v>133.09523331499446</v>
      </c>
      <c r="M382">
        <v>380</v>
      </c>
      <c r="N382">
        <f t="shared" ca="1" si="25"/>
        <v>696</v>
      </c>
      <c r="O382">
        <f ca="1">SUM($N$2:N382)/M382</f>
        <v>135.78613025929346</v>
      </c>
    </row>
    <row r="383" spans="1:15" x14ac:dyDescent="0.2">
      <c r="A383">
        <v>381</v>
      </c>
      <c r="B383" s="11">
        <f t="shared" ca="1" si="22"/>
        <v>696</v>
      </c>
      <c r="C383">
        <f ca="1">SUM($B$2:B383)/A383</f>
        <v>134.57267364750103</v>
      </c>
      <c r="E383">
        <v>381</v>
      </c>
      <c r="F383" s="11">
        <f t="shared" ca="1" si="23"/>
        <v>696</v>
      </c>
      <c r="G383">
        <f ca="1">SUM($F$2:F383)/E383</f>
        <v>137.25650787016147</v>
      </c>
      <c r="I383">
        <v>381</v>
      </c>
      <c r="J383">
        <f t="shared" ca="1" si="24"/>
        <v>696</v>
      </c>
      <c r="K383">
        <f ca="1">SUM($J$2:J383)/I383</f>
        <v>134.57267364750103</v>
      </c>
      <c r="M383">
        <v>381</v>
      </c>
      <c r="N383">
        <f t="shared" ca="1" si="25"/>
        <v>696</v>
      </c>
      <c r="O383">
        <f ca="1">SUM($N$2:N383)/M383</f>
        <v>137.25650787016147</v>
      </c>
    </row>
    <row r="384" spans="1:15" x14ac:dyDescent="0.2">
      <c r="A384">
        <v>382</v>
      </c>
      <c r="B384" s="11">
        <f t="shared" ca="1" si="22"/>
        <v>696</v>
      </c>
      <c r="C384">
        <f ca="1">SUM($B$2:B384)/A384</f>
        <v>136.04237869030862</v>
      </c>
      <c r="E384">
        <v>382</v>
      </c>
      <c r="F384" s="11">
        <f t="shared" ca="1" si="23"/>
        <v>696</v>
      </c>
      <c r="G384">
        <f ca="1">SUM($F$2:F384)/E384</f>
        <v>138.71918716893066</v>
      </c>
      <c r="I384">
        <v>382</v>
      </c>
      <c r="J384">
        <f t="shared" ca="1" si="24"/>
        <v>696</v>
      </c>
      <c r="K384">
        <f ca="1">SUM($J$2:J384)/I384</f>
        <v>136.04237869030862</v>
      </c>
      <c r="M384">
        <v>382</v>
      </c>
      <c r="N384">
        <f t="shared" ca="1" si="25"/>
        <v>696</v>
      </c>
      <c r="O384">
        <f ca="1">SUM($N$2:N384)/M384</f>
        <v>138.71918716893066</v>
      </c>
    </row>
    <row r="385" spans="1:15" x14ac:dyDescent="0.2">
      <c r="A385">
        <v>383</v>
      </c>
      <c r="B385" s="11">
        <f t="shared" ca="1" si="22"/>
        <v>696</v>
      </c>
      <c r="C385">
        <f ca="1">SUM($B$2:B385)/A385</f>
        <v>137.50440903315376</v>
      </c>
      <c r="E385">
        <v>383</v>
      </c>
      <c r="F385" s="11">
        <f t="shared" ca="1" si="23"/>
        <v>696</v>
      </c>
      <c r="G385">
        <f ca="1">SUM($F$2:F385)/E385</f>
        <v>140.17422845569587</v>
      </c>
      <c r="I385">
        <v>383</v>
      </c>
      <c r="J385">
        <f t="shared" ca="1" si="24"/>
        <v>696</v>
      </c>
      <c r="K385">
        <f ca="1">SUM($J$2:J385)/I385</f>
        <v>137.50440903315376</v>
      </c>
      <c r="M385">
        <v>383</v>
      </c>
      <c r="N385">
        <f t="shared" ca="1" si="25"/>
        <v>696</v>
      </c>
      <c r="O385">
        <f ca="1">SUM($N$2:N385)/M385</f>
        <v>140.17422845569587</v>
      </c>
    </row>
    <row r="386" spans="1:15" x14ac:dyDescent="0.2">
      <c r="A386">
        <v>384</v>
      </c>
      <c r="B386" s="11">
        <f t="shared" ca="1" si="22"/>
        <v>696</v>
      </c>
      <c r="C386">
        <f ca="1">SUM($B$2:B386)/A386</f>
        <v>138.95882463462993</v>
      </c>
      <c r="E386">
        <v>384</v>
      </c>
      <c r="F386" s="11">
        <f t="shared" ca="1" si="23"/>
        <v>696</v>
      </c>
      <c r="G386">
        <f ca="1">SUM($F$2:F386)/E386</f>
        <v>141.62169140242582</v>
      </c>
      <c r="I386">
        <v>384</v>
      </c>
      <c r="J386">
        <f t="shared" ca="1" si="24"/>
        <v>696</v>
      </c>
      <c r="K386">
        <f ca="1">SUM($J$2:J386)/I386</f>
        <v>138.95882463462993</v>
      </c>
      <c r="M386">
        <v>384</v>
      </c>
      <c r="N386">
        <f t="shared" ca="1" si="25"/>
        <v>696</v>
      </c>
      <c r="O386">
        <f ca="1">SUM($N$2:N386)/M386</f>
        <v>141.62169140242582</v>
      </c>
    </row>
    <row r="387" spans="1:15" x14ac:dyDescent="0.2">
      <c r="A387">
        <v>385</v>
      </c>
      <c r="B387" s="11">
        <f t="shared" ref="B387:B450" ca="1" si="26">IF(ARCap-IF((A387-IF(A387/180&gt;1,ROUNDDOWN(A387/180,0)*180,0))/30&lt;=1,IF(200*15*BaseSpeed/60*(YellowConnects+WhiteMHConnects+WhiteOHConnects+HoJConnects+WindfuryConnects+SSConnects+IronfoeConnects)*(A387-180*ROUNDDOWN(A387/180,0))&gt;1200,1200,200*15*BaseSpeed/60*(YellowConnects+WhiteMHConnects+WhiteOHConnects+HoJConnects+WindfuryConnects+SSConnects+IronfoeConnects)*(A387-180*ROUNDDOWN(A387/180,0))),0)&lt;0,ARCap,IF((A387-IF(A387/180&gt;1,ROUNDDOWN(A386/180,0)*180,0))/30&lt;=1,IF(200*15*BaseSpeed/60*(YellowConnects+WhiteMHConnects+WhiteOHConnects+HoJConnects+WindfuryConnects+SSConnects+IronfoeConnects)*(A387-180*ROUNDDOWN(A387/180,0))&gt;1200,1200,200*15*BaseSpeed/60*(YellowConnects+WhiteMHConnects+WhiteOHConnects+HoJConnects+WindfuryConnects+SSConnects+IronfoeConnects)*(A387-180*ROUNDDOWN(A387/180,0))),0))</f>
        <v>696</v>
      </c>
      <c r="C387">
        <f ca="1">SUM($B$2:B387)/A387</f>
        <v>140.40568483038413</v>
      </c>
      <c r="E387">
        <v>385</v>
      </c>
      <c r="F387" s="11">
        <f t="shared" ref="F387:F450" ca="1" si="27">IF(ARCap-IF((A387-IF(A387/180&gt;1,ROUNDDOWN(A387/180,0)*180,0))/30&lt;=1,IF(200*15*BaseSpeed/60*(YellowConnects20+WhiteMHConnects20+WhiteOHConnects20+HoJConnects20+WindfuryConnects20+SSConnects20+IronfoeConnects20)*(A387-180*ROUNDDOWN(A387/180,0))&gt;1200,1200,200*15*BaseSpeed/60*(YellowConnects20+WhiteMHConnects20+WhiteOHConnects20+HoJConnects20+WindfuryConnects20+SSConnects20+IronfoeConnects20)*(A387-180*ROUNDDOWN(A387/180,0))),0)&lt;0,ARCap,IF((A387-IF(A387/180&gt;1,ROUNDDOWN(A387/180,0)*180,0))/30&lt;=1,IF(200*15*BaseSpeed/60*(YellowConnects20+WhiteMHConnects20+WhiteOHConnects20+HoJConnects20+WindfuryConnects20+SSConnects20+IronfoeConnects20)*(A387-180*ROUNDDOWN(A387/180,0))&gt;1200,1200,200*15*BaseSpeed/60*(YellowConnects20+WhiteMHConnects20+WhiteOHConnects20+HoJConnects20+WindfuryConnects20+SSConnects20+IronfoeConnects20)*(A387-180*ROUNDDOWN(A387/180,0))),0))</f>
        <v>696</v>
      </c>
      <c r="G387">
        <f ca="1">SUM($F$2:F387)/E387</f>
        <v>143.06163506112082</v>
      </c>
      <c r="I387">
        <v>385</v>
      </c>
      <c r="J387">
        <f t="shared" ref="J387:J450" ca="1" si="28">IF(ARCap-(B387+BRE)&lt;0,ARCap,B387+BRE)</f>
        <v>696</v>
      </c>
      <c r="K387">
        <f ca="1">SUM($J$2:J387)/I387</f>
        <v>140.40568483038413</v>
      </c>
      <c r="M387">
        <v>385</v>
      </c>
      <c r="N387">
        <f t="shared" ref="N387:N450" ca="1" si="29">IF(ARCap-(F387+BREArmorReduction20)&lt;0,ARCap,F387+BREArmorReduction20)</f>
        <v>696</v>
      </c>
      <c r="O387">
        <f ca="1">SUM($N$2:N387)/M387</f>
        <v>143.06163506112082</v>
      </c>
    </row>
    <row r="388" spans="1:15" x14ac:dyDescent="0.2">
      <c r="A388">
        <v>386</v>
      </c>
      <c r="B388" s="11">
        <f t="shared" ca="1" si="26"/>
        <v>696</v>
      </c>
      <c r="C388">
        <f ca="1">SUM($B$2:B388)/A388</f>
        <v>141.84504834118624</v>
      </c>
      <c r="E388">
        <v>386</v>
      </c>
      <c r="F388" s="11">
        <f t="shared" ca="1" si="27"/>
        <v>696</v>
      </c>
      <c r="G388">
        <f ca="1">SUM($F$2:F388)/E388</f>
        <v>144.49411787184332</v>
      </c>
      <c r="I388">
        <v>386</v>
      </c>
      <c r="J388">
        <f t="shared" ca="1" si="28"/>
        <v>696</v>
      </c>
      <c r="K388">
        <f ca="1">SUM($J$2:J388)/I388</f>
        <v>141.84504834118624</v>
      </c>
      <c r="M388">
        <v>386</v>
      </c>
      <c r="N388">
        <f t="shared" ca="1" si="29"/>
        <v>696</v>
      </c>
      <c r="O388">
        <f ca="1">SUM($N$2:N388)/M388</f>
        <v>144.49411787184332</v>
      </c>
    </row>
    <row r="389" spans="1:15" x14ac:dyDescent="0.2">
      <c r="A389">
        <v>387</v>
      </c>
      <c r="B389" s="11">
        <f t="shared" ca="1" si="26"/>
        <v>696</v>
      </c>
      <c r="C389">
        <f ca="1">SUM($B$2:B389)/A389</f>
        <v>143.27697328087311</v>
      </c>
      <c r="E389">
        <v>387</v>
      </c>
      <c r="F389" s="11">
        <f t="shared" ca="1" si="27"/>
        <v>696</v>
      </c>
      <c r="G389">
        <f ca="1">SUM($F$2:F389)/E389</f>
        <v>145.91919767062407</v>
      </c>
      <c r="I389">
        <v>387</v>
      </c>
      <c r="J389">
        <f t="shared" ca="1" si="28"/>
        <v>696</v>
      </c>
      <c r="K389">
        <f ca="1">SUM($J$2:J389)/I389</f>
        <v>143.27697328087311</v>
      </c>
      <c r="M389">
        <v>387</v>
      </c>
      <c r="N389">
        <f t="shared" ca="1" si="29"/>
        <v>696</v>
      </c>
      <c r="O389">
        <f ca="1">SUM($N$2:N389)/M389</f>
        <v>145.91919767062407</v>
      </c>
    </row>
    <row r="390" spans="1:15" x14ac:dyDescent="0.2">
      <c r="A390">
        <v>388</v>
      </c>
      <c r="B390" s="11">
        <f t="shared" ca="1" si="26"/>
        <v>696</v>
      </c>
      <c r="C390">
        <f ca="1">SUM($B$2:B390)/A390</f>
        <v>144.70151716416984</v>
      </c>
      <c r="E390">
        <v>388</v>
      </c>
      <c r="F390" s="11">
        <f t="shared" ca="1" si="27"/>
        <v>696</v>
      </c>
      <c r="G390">
        <f ca="1">SUM($F$2:F390)/E390</f>
        <v>147.33693169724617</v>
      </c>
      <c r="I390">
        <v>388</v>
      </c>
      <c r="J390">
        <f t="shared" ca="1" si="28"/>
        <v>696</v>
      </c>
      <c r="K390">
        <f ca="1">SUM($J$2:J390)/I390</f>
        <v>144.70151716416984</v>
      </c>
      <c r="M390">
        <v>388</v>
      </c>
      <c r="N390">
        <f t="shared" ca="1" si="29"/>
        <v>696</v>
      </c>
      <c r="O390">
        <f ca="1">SUM($N$2:N390)/M390</f>
        <v>147.33693169724617</v>
      </c>
    </row>
    <row r="391" spans="1:15" x14ac:dyDescent="0.2">
      <c r="A391">
        <v>389</v>
      </c>
      <c r="B391" s="11">
        <f t="shared" ca="1" si="26"/>
        <v>696</v>
      </c>
      <c r="C391">
        <f ca="1">SUM($B$2:B391)/A391</f>
        <v>146.11873691439047</v>
      </c>
      <c r="E391">
        <v>389</v>
      </c>
      <c r="F391" s="11">
        <f t="shared" ca="1" si="27"/>
        <v>696</v>
      </c>
      <c r="G391">
        <f ca="1">SUM($F$2:F391)/E391</f>
        <v>148.74737660290879</v>
      </c>
      <c r="I391">
        <v>389</v>
      </c>
      <c r="J391">
        <f t="shared" ca="1" si="28"/>
        <v>696</v>
      </c>
      <c r="K391">
        <f ca="1">SUM($J$2:J391)/I391</f>
        <v>146.11873691439047</v>
      </c>
      <c r="M391">
        <v>389</v>
      </c>
      <c r="N391">
        <f t="shared" ca="1" si="29"/>
        <v>696</v>
      </c>
      <c r="O391">
        <f ca="1">SUM($N$2:N391)/M391</f>
        <v>148.74737660290879</v>
      </c>
    </row>
    <row r="392" spans="1:15" x14ac:dyDescent="0.2">
      <c r="A392">
        <v>390</v>
      </c>
      <c r="B392" s="11">
        <f t="shared" ca="1" si="26"/>
        <v>696</v>
      </c>
      <c r="C392">
        <f ca="1">SUM($B$2:B392)/A392</f>
        <v>147.52868887102025</v>
      </c>
      <c r="E392">
        <v>390</v>
      </c>
      <c r="F392" s="11">
        <f t="shared" ca="1" si="27"/>
        <v>696</v>
      </c>
      <c r="G392">
        <f ca="1">SUM($F$2:F392)/E392</f>
        <v>150.15058845777313</v>
      </c>
      <c r="I392">
        <v>390</v>
      </c>
      <c r="J392">
        <f t="shared" ca="1" si="28"/>
        <v>696</v>
      </c>
      <c r="K392">
        <f ca="1">SUM($J$2:J392)/I392</f>
        <v>147.52868887102025</v>
      </c>
      <c r="M392">
        <v>390</v>
      </c>
      <c r="N392">
        <f t="shared" ca="1" si="29"/>
        <v>696</v>
      </c>
      <c r="O392">
        <f ca="1">SUM($N$2:N392)/M392</f>
        <v>150.15058845777313</v>
      </c>
    </row>
    <row r="393" spans="1:15" x14ac:dyDescent="0.2">
      <c r="A393">
        <v>391</v>
      </c>
      <c r="B393" s="11">
        <f t="shared" si="26"/>
        <v>0</v>
      </c>
      <c r="C393">
        <f ca="1">SUM($B$2:B393)/A393</f>
        <v>147.15137764628616</v>
      </c>
      <c r="E393">
        <v>391</v>
      </c>
      <c r="F393" s="11">
        <f t="shared" si="27"/>
        <v>0</v>
      </c>
      <c r="G393">
        <f ca="1">SUM($F$2:F393)/E393</f>
        <v>149.7665716074975</v>
      </c>
      <c r="I393">
        <v>391</v>
      </c>
      <c r="J393">
        <f t="shared" si="28"/>
        <v>0</v>
      </c>
      <c r="K393">
        <f ca="1">SUM($J$2:J393)/I393</f>
        <v>147.15137764628616</v>
      </c>
      <c r="M393">
        <v>391</v>
      </c>
      <c r="N393">
        <f t="shared" si="29"/>
        <v>0</v>
      </c>
      <c r="O393">
        <f ca="1">SUM($N$2:N393)/M393</f>
        <v>149.7665716074975</v>
      </c>
    </row>
    <row r="394" spans="1:15" x14ac:dyDescent="0.2">
      <c r="A394">
        <v>392</v>
      </c>
      <c r="B394" s="11">
        <f t="shared" si="26"/>
        <v>0</v>
      </c>
      <c r="C394">
        <f ca="1">SUM($B$2:B394)/A394</f>
        <v>146.77599147882117</v>
      </c>
      <c r="E394">
        <v>392</v>
      </c>
      <c r="F394" s="11">
        <f t="shared" si="27"/>
        <v>0</v>
      </c>
      <c r="G394">
        <f ca="1">SUM($F$2:F394)/E394</f>
        <v>149.3845140268661</v>
      </c>
      <c r="I394">
        <v>392</v>
      </c>
      <c r="J394">
        <f t="shared" si="28"/>
        <v>0</v>
      </c>
      <c r="K394">
        <f ca="1">SUM($J$2:J394)/I394</f>
        <v>146.77599147882117</v>
      </c>
      <c r="M394">
        <v>392</v>
      </c>
      <c r="N394">
        <f t="shared" si="29"/>
        <v>0</v>
      </c>
      <c r="O394">
        <f ca="1">SUM($N$2:N394)/M394</f>
        <v>149.3845140268661</v>
      </c>
    </row>
    <row r="395" spans="1:15" x14ac:dyDescent="0.2">
      <c r="A395">
        <v>393</v>
      </c>
      <c r="B395" s="11">
        <f t="shared" si="26"/>
        <v>0</v>
      </c>
      <c r="C395">
        <f ca="1">SUM($B$2:B395)/A395</f>
        <v>146.40251567353152</v>
      </c>
      <c r="E395">
        <v>393</v>
      </c>
      <c r="F395" s="11">
        <f t="shared" si="27"/>
        <v>0</v>
      </c>
      <c r="G395">
        <f ca="1">SUM($F$2:F395)/E395</f>
        <v>149.00440075962217</v>
      </c>
      <c r="I395">
        <v>393</v>
      </c>
      <c r="J395">
        <f t="shared" si="28"/>
        <v>0</v>
      </c>
      <c r="K395">
        <f ca="1">SUM($J$2:J395)/I395</f>
        <v>146.40251567353152</v>
      </c>
      <c r="M395">
        <v>393</v>
      </c>
      <c r="N395">
        <f t="shared" si="29"/>
        <v>0</v>
      </c>
      <c r="O395">
        <f ca="1">SUM($N$2:N395)/M395</f>
        <v>149.00440075962217</v>
      </c>
    </row>
    <row r="396" spans="1:15" x14ac:dyDescent="0.2">
      <c r="A396">
        <v>394</v>
      </c>
      <c r="B396" s="11">
        <f t="shared" si="26"/>
        <v>0</v>
      </c>
      <c r="C396">
        <f ca="1">SUM($B$2:B396)/A396</f>
        <v>146.03093568451243</v>
      </c>
      <c r="E396">
        <v>394</v>
      </c>
      <c r="F396" s="11">
        <f t="shared" si="27"/>
        <v>0</v>
      </c>
      <c r="G396">
        <f ca="1">SUM($F$2:F396)/E396</f>
        <v>148.62621700134903</v>
      </c>
      <c r="I396">
        <v>394</v>
      </c>
      <c r="J396">
        <f t="shared" si="28"/>
        <v>0</v>
      </c>
      <c r="K396">
        <f ca="1">SUM($J$2:J396)/I396</f>
        <v>146.03093568451243</v>
      </c>
      <c r="M396">
        <v>394</v>
      </c>
      <c r="N396">
        <f t="shared" si="29"/>
        <v>0</v>
      </c>
      <c r="O396">
        <f ca="1">SUM($N$2:N396)/M396</f>
        <v>148.62621700134903</v>
      </c>
    </row>
    <row r="397" spans="1:15" x14ac:dyDescent="0.2">
      <c r="A397">
        <v>395</v>
      </c>
      <c r="B397" s="11">
        <f t="shared" si="26"/>
        <v>0</v>
      </c>
      <c r="C397">
        <f ca="1">SUM($B$2:B397)/A397</f>
        <v>145.66123711315922</v>
      </c>
      <c r="E397">
        <v>395</v>
      </c>
      <c r="F397" s="11">
        <f t="shared" si="27"/>
        <v>0</v>
      </c>
      <c r="G397">
        <f ca="1">SUM($F$2:F397)/E397</f>
        <v>148.24994809754816</v>
      </c>
      <c r="I397">
        <v>395</v>
      </c>
      <c r="J397">
        <f t="shared" si="28"/>
        <v>0</v>
      </c>
      <c r="K397">
        <f ca="1">SUM($J$2:J397)/I397</f>
        <v>145.66123711315922</v>
      </c>
      <c r="M397">
        <v>395</v>
      </c>
      <c r="N397">
        <f t="shared" si="29"/>
        <v>0</v>
      </c>
      <c r="O397">
        <f ca="1">SUM($N$2:N397)/M397</f>
        <v>148.24994809754816</v>
      </c>
    </row>
    <row r="398" spans="1:15" x14ac:dyDescent="0.2">
      <c r="A398">
        <v>396</v>
      </c>
      <c r="B398" s="11">
        <f t="shared" si="26"/>
        <v>0</v>
      </c>
      <c r="C398">
        <f ca="1">SUM($B$2:B398)/A398</f>
        <v>145.29340570630782</v>
      </c>
      <c r="E398">
        <v>396</v>
      </c>
      <c r="F398" s="11">
        <f t="shared" si="27"/>
        <v>0</v>
      </c>
      <c r="G398">
        <f ca="1">SUM($F$2:F398)/E398</f>
        <v>147.87557954174625</v>
      </c>
      <c r="I398">
        <v>396</v>
      </c>
      <c r="J398">
        <f t="shared" si="28"/>
        <v>0</v>
      </c>
      <c r="K398">
        <f ca="1">SUM($J$2:J398)/I398</f>
        <v>145.29340570630782</v>
      </c>
      <c r="M398">
        <v>396</v>
      </c>
      <c r="N398">
        <f t="shared" si="29"/>
        <v>0</v>
      </c>
      <c r="O398">
        <f ca="1">SUM($N$2:N398)/M398</f>
        <v>147.87557954174625</v>
      </c>
    </row>
    <row r="399" spans="1:15" x14ac:dyDescent="0.2">
      <c r="A399">
        <v>397</v>
      </c>
      <c r="B399" s="11">
        <f t="shared" si="26"/>
        <v>0</v>
      </c>
      <c r="C399">
        <f ca="1">SUM($B$2:B399)/A399</f>
        <v>144.92742735440277</v>
      </c>
      <c r="E399">
        <v>397</v>
      </c>
      <c r="F399" s="11">
        <f t="shared" si="27"/>
        <v>0</v>
      </c>
      <c r="G399">
        <f ca="1">SUM($F$2:F399)/E399</f>
        <v>147.50309697363102</v>
      </c>
      <c r="I399">
        <v>397</v>
      </c>
      <c r="J399">
        <f t="shared" si="28"/>
        <v>0</v>
      </c>
      <c r="K399">
        <f ca="1">SUM($J$2:J399)/I399</f>
        <v>144.92742735440277</v>
      </c>
      <c r="M399">
        <v>397</v>
      </c>
      <c r="N399">
        <f t="shared" si="29"/>
        <v>0</v>
      </c>
      <c r="O399">
        <f ca="1">SUM($N$2:N399)/M399</f>
        <v>147.50309697363102</v>
      </c>
    </row>
    <row r="400" spans="1:15" x14ac:dyDescent="0.2">
      <c r="A400">
        <v>398</v>
      </c>
      <c r="B400" s="11">
        <f t="shared" si="26"/>
        <v>0</v>
      </c>
      <c r="C400">
        <f ca="1">SUM($B$2:B400)/A400</f>
        <v>144.5632880896932</v>
      </c>
      <c r="E400">
        <v>398</v>
      </c>
      <c r="F400" s="11">
        <f t="shared" si="27"/>
        <v>0</v>
      </c>
      <c r="G400">
        <f ca="1">SUM($F$2:F400)/E400</f>
        <v>147.13248617721487</v>
      </c>
      <c r="I400">
        <v>398</v>
      </c>
      <c r="J400">
        <f t="shared" si="28"/>
        <v>0</v>
      </c>
      <c r="K400">
        <f ca="1">SUM($J$2:J400)/I400</f>
        <v>144.5632880896932</v>
      </c>
      <c r="M400">
        <v>398</v>
      </c>
      <c r="N400">
        <f t="shared" si="29"/>
        <v>0</v>
      </c>
      <c r="O400">
        <f ca="1">SUM($N$2:N400)/M400</f>
        <v>147.13248617721487</v>
      </c>
    </row>
    <row r="401" spans="1:15" x14ac:dyDescent="0.2">
      <c r="A401">
        <v>399</v>
      </c>
      <c r="B401" s="11">
        <f t="shared" si="26"/>
        <v>0</v>
      </c>
      <c r="C401">
        <f ca="1">SUM($B$2:B401)/A401</f>
        <v>144.20097408445588</v>
      </c>
      <c r="E401">
        <v>399</v>
      </c>
      <c r="F401" s="11">
        <f t="shared" si="27"/>
        <v>0</v>
      </c>
      <c r="G401">
        <f ca="1">SUM($F$2:F401)/E401</f>
        <v>146.76373307902637</v>
      </c>
      <c r="I401">
        <v>399</v>
      </c>
      <c r="J401">
        <f t="shared" si="28"/>
        <v>0</v>
      </c>
      <c r="K401">
        <f ca="1">SUM($J$2:J401)/I401</f>
        <v>144.20097408445588</v>
      </c>
      <c r="M401">
        <v>399</v>
      </c>
      <c r="N401">
        <f t="shared" si="29"/>
        <v>0</v>
      </c>
      <c r="O401">
        <f ca="1">SUM($N$2:N401)/M401</f>
        <v>146.76373307902637</v>
      </c>
    </row>
    <row r="402" spans="1:15" x14ac:dyDescent="0.2">
      <c r="A402">
        <v>400</v>
      </c>
      <c r="B402" s="11">
        <f t="shared" si="26"/>
        <v>0</v>
      </c>
      <c r="C402">
        <f ca="1">SUM($B$2:B402)/A402</f>
        <v>143.84047164924473</v>
      </c>
      <c r="E402">
        <v>400</v>
      </c>
      <c r="F402" s="11">
        <f t="shared" si="27"/>
        <v>0</v>
      </c>
      <c r="G402">
        <f ca="1">SUM($F$2:F402)/E402</f>
        <v>146.39682374632878</v>
      </c>
      <c r="I402">
        <v>400</v>
      </c>
      <c r="J402">
        <f t="shared" si="28"/>
        <v>0</v>
      </c>
      <c r="K402">
        <f ca="1">SUM($J$2:J402)/I402</f>
        <v>143.84047164924473</v>
      </c>
      <c r="M402">
        <v>400</v>
      </c>
      <c r="N402">
        <f t="shared" si="29"/>
        <v>0</v>
      </c>
      <c r="O402">
        <f ca="1">SUM($N$2:N402)/M402</f>
        <v>146.39682374632878</v>
      </c>
    </row>
    <row r="403" spans="1:15" x14ac:dyDescent="0.2">
      <c r="A403">
        <v>401</v>
      </c>
      <c r="B403" s="11">
        <f t="shared" si="26"/>
        <v>0</v>
      </c>
      <c r="C403">
        <f ca="1">SUM($B$2:B403)/A403</f>
        <v>143.48176723116683</v>
      </c>
      <c r="E403">
        <v>401</v>
      </c>
      <c r="F403" s="11">
        <f t="shared" si="27"/>
        <v>0</v>
      </c>
      <c r="G403">
        <f ca="1">SUM($F$2:F403)/E403</f>
        <v>146.03174438536539</v>
      </c>
      <c r="I403">
        <v>401</v>
      </c>
      <c r="J403">
        <f t="shared" si="28"/>
        <v>0</v>
      </c>
      <c r="K403">
        <f ca="1">SUM($J$2:J403)/I403</f>
        <v>143.48176723116683</v>
      </c>
      <c r="M403">
        <v>401</v>
      </c>
      <c r="N403">
        <f t="shared" si="29"/>
        <v>0</v>
      </c>
      <c r="O403">
        <f ca="1">SUM($N$2:N403)/M403</f>
        <v>146.03174438536539</v>
      </c>
    </row>
    <row r="404" spans="1:15" x14ac:dyDescent="0.2">
      <c r="A404">
        <v>402</v>
      </c>
      <c r="B404" s="11">
        <f t="shared" si="26"/>
        <v>0</v>
      </c>
      <c r="C404">
        <f ca="1">SUM($B$2:B404)/A404</f>
        <v>143.12484741218381</v>
      </c>
      <c r="E404">
        <v>402</v>
      </c>
      <c r="F404" s="11">
        <f t="shared" si="27"/>
        <v>0</v>
      </c>
      <c r="G404">
        <f ca="1">SUM($F$2:F404)/E404</f>
        <v>145.66848133963063</v>
      </c>
      <c r="I404">
        <v>402</v>
      </c>
      <c r="J404">
        <f t="shared" si="28"/>
        <v>0</v>
      </c>
      <c r="K404">
        <f ca="1">SUM($J$2:J404)/I404</f>
        <v>143.12484741218381</v>
      </c>
      <c r="M404">
        <v>402</v>
      </c>
      <c r="N404">
        <f t="shared" si="29"/>
        <v>0</v>
      </c>
      <c r="O404">
        <f ca="1">SUM($N$2:N404)/M404</f>
        <v>145.66848133963063</v>
      </c>
    </row>
    <row r="405" spans="1:15" x14ac:dyDescent="0.2">
      <c r="A405">
        <v>403</v>
      </c>
      <c r="B405" s="11">
        <f t="shared" si="26"/>
        <v>0</v>
      </c>
      <c r="C405">
        <f ca="1">SUM($B$2:B405)/A405</f>
        <v>142.76969890743894</v>
      </c>
      <c r="E405">
        <v>403</v>
      </c>
      <c r="F405" s="11">
        <f t="shared" si="27"/>
        <v>0</v>
      </c>
      <c r="G405">
        <f ca="1">SUM($F$2:F405)/E405</f>
        <v>145.30702108816755</v>
      </c>
      <c r="I405">
        <v>403</v>
      </c>
      <c r="J405">
        <f t="shared" si="28"/>
        <v>0</v>
      </c>
      <c r="K405">
        <f ca="1">SUM($J$2:J405)/I405</f>
        <v>142.76969890743894</v>
      </c>
      <c r="M405">
        <v>403</v>
      </c>
      <c r="N405">
        <f t="shared" si="29"/>
        <v>0</v>
      </c>
      <c r="O405">
        <f ca="1">SUM($N$2:N405)/M405</f>
        <v>145.30702108816755</v>
      </c>
    </row>
    <row r="406" spans="1:15" x14ac:dyDescent="0.2">
      <c r="A406">
        <v>404</v>
      </c>
      <c r="B406" s="11">
        <f t="shared" si="26"/>
        <v>0</v>
      </c>
      <c r="C406">
        <f ca="1">SUM($B$2:B406)/A406</f>
        <v>142.41630856360865</v>
      </c>
      <c r="E406">
        <v>404</v>
      </c>
      <c r="F406" s="11">
        <f t="shared" si="27"/>
        <v>0</v>
      </c>
      <c r="G406">
        <f ca="1">SUM($F$2:F406)/E406</f>
        <v>144.9473502438899</v>
      </c>
      <c r="I406">
        <v>404</v>
      </c>
      <c r="J406">
        <f t="shared" si="28"/>
        <v>0</v>
      </c>
      <c r="K406">
        <f ca="1">SUM($J$2:J406)/I406</f>
        <v>142.41630856360865</v>
      </c>
      <c r="M406">
        <v>404</v>
      </c>
      <c r="N406">
        <f t="shared" si="29"/>
        <v>0</v>
      </c>
      <c r="O406">
        <f ca="1">SUM($N$2:N406)/M406</f>
        <v>144.9473502438899</v>
      </c>
    </row>
    <row r="407" spans="1:15" x14ac:dyDescent="0.2">
      <c r="A407">
        <v>405</v>
      </c>
      <c r="B407" s="11">
        <f t="shared" si="26"/>
        <v>0</v>
      </c>
      <c r="C407">
        <f ca="1">SUM($B$2:B407)/A407</f>
        <v>142.06466335727876</v>
      </c>
      <c r="E407">
        <v>405</v>
      </c>
      <c r="F407" s="11">
        <f t="shared" si="27"/>
        <v>0</v>
      </c>
      <c r="G407">
        <f ca="1">SUM($F$2:F407)/E407</f>
        <v>144.58945555192966</v>
      </c>
      <c r="I407">
        <v>405</v>
      </c>
      <c r="J407">
        <f t="shared" si="28"/>
        <v>0</v>
      </c>
      <c r="K407">
        <f ca="1">SUM($J$2:J407)/I407</f>
        <v>142.06466335727876</v>
      </c>
      <c r="M407">
        <v>405</v>
      </c>
      <c r="N407">
        <f t="shared" si="29"/>
        <v>0</v>
      </c>
      <c r="O407">
        <f ca="1">SUM($N$2:N407)/M407</f>
        <v>144.58945555192966</v>
      </c>
    </row>
    <row r="408" spans="1:15" x14ac:dyDescent="0.2">
      <c r="A408">
        <v>406</v>
      </c>
      <c r="B408" s="11">
        <f t="shared" si="26"/>
        <v>0</v>
      </c>
      <c r="C408">
        <f ca="1">SUM($B$2:B408)/A408</f>
        <v>141.71475039334456</v>
      </c>
      <c r="E408">
        <v>406</v>
      </c>
      <c r="F408" s="11">
        <f t="shared" si="27"/>
        <v>0</v>
      </c>
      <c r="G408">
        <f ca="1">SUM($F$2:F408)/E408</f>
        <v>144.23332388800867</v>
      </c>
      <c r="I408">
        <v>406</v>
      </c>
      <c r="J408">
        <f t="shared" si="28"/>
        <v>0</v>
      </c>
      <c r="K408">
        <f ca="1">SUM($J$2:J408)/I408</f>
        <v>141.71475039334456</v>
      </c>
      <c r="M408">
        <v>406</v>
      </c>
      <c r="N408">
        <f t="shared" si="29"/>
        <v>0</v>
      </c>
      <c r="O408">
        <f ca="1">SUM($N$2:N408)/M408</f>
        <v>144.23332388800867</v>
      </c>
    </row>
    <row r="409" spans="1:15" x14ac:dyDescent="0.2">
      <c r="A409">
        <v>407</v>
      </c>
      <c r="B409" s="11">
        <f t="shared" si="26"/>
        <v>0</v>
      </c>
      <c r="C409">
        <f ca="1">SUM($B$2:B409)/A409</f>
        <v>141.36655690343463</v>
      </c>
      <c r="E409">
        <v>407</v>
      </c>
      <c r="F409" s="11">
        <f t="shared" si="27"/>
        <v>0</v>
      </c>
      <c r="G409">
        <f ca="1">SUM($F$2:F409)/E409</f>
        <v>143.87894225683419</v>
      </c>
      <c r="I409">
        <v>407</v>
      </c>
      <c r="J409">
        <f t="shared" si="28"/>
        <v>0</v>
      </c>
      <c r="K409">
        <f ca="1">SUM($J$2:J409)/I409</f>
        <v>141.36655690343463</v>
      </c>
      <c r="M409">
        <v>407</v>
      </c>
      <c r="N409">
        <f t="shared" si="29"/>
        <v>0</v>
      </c>
      <c r="O409">
        <f ca="1">SUM($N$2:N409)/M409</f>
        <v>143.87894225683419</v>
      </c>
    </row>
    <row r="410" spans="1:15" x14ac:dyDescent="0.2">
      <c r="A410">
        <v>408</v>
      </c>
      <c r="B410" s="11">
        <f t="shared" si="26"/>
        <v>0</v>
      </c>
      <c r="C410">
        <f ca="1">SUM($B$2:B410)/A410</f>
        <v>141.02007024435758</v>
      </c>
      <c r="E410">
        <v>408</v>
      </c>
      <c r="F410" s="11">
        <f t="shared" si="27"/>
        <v>0</v>
      </c>
      <c r="G410">
        <f ca="1">SUM($F$2:F410)/E410</f>
        <v>143.52629779051841</v>
      </c>
      <c r="I410">
        <v>408</v>
      </c>
      <c r="J410">
        <f t="shared" si="28"/>
        <v>0</v>
      </c>
      <c r="K410">
        <f ca="1">SUM($J$2:J410)/I410</f>
        <v>141.02007024435758</v>
      </c>
      <c r="M410">
        <v>408</v>
      </c>
      <c r="N410">
        <f t="shared" si="29"/>
        <v>0</v>
      </c>
      <c r="O410">
        <f ca="1">SUM($N$2:N410)/M410</f>
        <v>143.52629779051841</v>
      </c>
    </row>
    <row r="411" spans="1:15" x14ac:dyDescent="0.2">
      <c r="A411">
        <v>409</v>
      </c>
      <c r="B411" s="11">
        <f t="shared" si="26"/>
        <v>0</v>
      </c>
      <c r="C411">
        <f ca="1">SUM($B$2:B411)/A411</f>
        <v>140.67527789657186</v>
      </c>
      <c r="E411">
        <v>409</v>
      </c>
      <c r="F411" s="11">
        <f t="shared" si="27"/>
        <v>0</v>
      </c>
      <c r="G411">
        <f ca="1">SUM($F$2:F411)/E411</f>
        <v>143.17537774702083</v>
      </c>
      <c r="I411">
        <v>409</v>
      </c>
      <c r="J411">
        <f t="shared" si="28"/>
        <v>0</v>
      </c>
      <c r="K411">
        <f ca="1">SUM($J$2:J411)/I411</f>
        <v>140.67527789657186</v>
      </c>
      <c r="M411">
        <v>409</v>
      </c>
      <c r="N411">
        <f t="shared" si="29"/>
        <v>0</v>
      </c>
      <c r="O411">
        <f ca="1">SUM($N$2:N411)/M411</f>
        <v>143.17537774702083</v>
      </c>
    </row>
    <row r="412" spans="1:15" x14ac:dyDescent="0.2">
      <c r="A412">
        <v>410</v>
      </c>
      <c r="B412" s="11">
        <f t="shared" si="26"/>
        <v>0</v>
      </c>
      <c r="C412">
        <f ca="1">SUM($B$2:B412)/A412</f>
        <v>140.3321674626778</v>
      </c>
      <c r="E412">
        <v>410</v>
      </c>
      <c r="F412" s="11">
        <f t="shared" si="27"/>
        <v>0</v>
      </c>
      <c r="G412">
        <f ca="1">SUM($F$2:F412)/E412</f>
        <v>142.82616950861345</v>
      </c>
      <c r="I412">
        <v>410</v>
      </c>
      <c r="J412">
        <f t="shared" si="28"/>
        <v>0</v>
      </c>
      <c r="K412">
        <f ca="1">SUM($J$2:J412)/I412</f>
        <v>140.3321674626778</v>
      </c>
      <c r="M412">
        <v>410</v>
      </c>
      <c r="N412">
        <f t="shared" si="29"/>
        <v>0</v>
      </c>
      <c r="O412">
        <f ca="1">SUM($N$2:N412)/M412</f>
        <v>142.82616950861345</v>
      </c>
    </row>
    <row r="413" spans="1:15" x14ac:dyDescent="0.2">
      <c r="A413">
        <v>411</v>
      </c>
      <c r="B413" s="11">
        <f t="shared" si="26"/>
        <v>0</v>
      </c>
      <c r="C413">
        <f ca="1">SUM($B$2:B413)/A413</f>
        <v>139.99072666593162</v>
      </c>
      <c r="E413">
        <v>411</v>
      </c>
      <c r="F413" s="11">
        <f t="shared" si="27"/>
        <v>0</v>
      </c>
      <c r="G413">
        <f ca="1">SUM($F$2:F413)/E413</f>
        <v>142.47866058036865</v>
      </c>
      <c r="I413">
        <v>411</v>
      </c>
      <c r="J413">
        <f t="shared" si="28"/>
        <v>0</v>
      </c>
      <c r="K413">
        <f ca="1">SUM($J$2:J413)/I413</f>
        <v>139.99072666593162</v>
      </c>
      <c r="M413">
        <v>411</v>
      </c>
      <c r="N413">
        <f t="shared" si="29"/>
        <v>0</v>
      </c>
      <c r="O413">
        <f ca="1">SUM($N$2:N413)/M413</f>
        <v>142.47866058036865</v>
      </c>
    </row>
    <row r="414" spans="1:15" x14ac:dyDescent="0.2">
      <c r="A414">
        <v>412</v>
      </c>
      <c r="B414" s="11">
        <f t="shared" si="26"/>
        <v>0</v>
      </c>
      <c r="C414">
        <f ca="1">SUM($B$2:B414)/A414</f>
        <v>139.65094334878131</v>
      </c>
      <c r="E414">
        <v>412</v>
      </c>
      <c r="F414" s="11">
        <f t="shared" si="27"/>
        <v>0</v>
      </c>
      <c r="G414">
        <f ca="1">SUM($F$2:F414)/E414</f>
        <v>142.13283858866873</v>
      </c>
      <c r="I414">
        <v>412</v>
      </c>
      <c r="J414">
        <f t="shared" si="28"/>
        <v>0</v>
      </c>
      <c r="K414">
        <f ca="1">SUM($J$2:J414)/I414</f>
        <v>139.65094334878131</v>
      </c>
      <c r="M414">
        <v>412</v>
      </c>
      <c r="N414">
        <f t="shared" si="29"/>
        <v>0</v>
      </c>
      <c r="O414">
        <f ca="1">SUM($N$2:N414)/M414</f>
        <v>142.13283858866873</v>
      </c>
    </row>
    <row r="415" spans="1:15" x14ac:dyDescent="0.2">
      <c r="A415">
        <v>413</v>
      </c>
      <c r="B415" s="11">
        <f t="shared" si="26"/>
        <v>0</v>
      </c>
      <c r="C415">
        <f ca="1">SUM($B$2:B415)/A415</f>
        <v>139.31280547142347</v>
      </c>
      <c r="E415">
        <v>413</v>
      </c>
      <c r="F415" s="11">
        <f t="shared" si="27"/>
        <v>0</v>
      </c>
      <c r="G415">
        <f ca="1">SUM($F$2:F415)/E415</f>
        <v>141.78869127973732</v>
      </c>
      <c r="I415">
        <v>413</v>
      </c>
      <c r="J415">
        <f t="shared" si="28"/>
        <v>0</v>
      </c>
      <c r="K415">
        <f ca="1">SUM($J$2:J415)/I415</f>
        <v>139.31280547142347</v>
      </c>
      <c r="M415">
        <v>413</v>
      </c>
      <c r="N415">
        <f t="shared" si="29"/>
        <v>0</v>
      </c>
      <c r="O415">
        <f ca="1">SUM($N$2:N415)/M415</f>
        <v>141.78869127973732</v>
      </c>
    </row>
    <row r="416" spans="1:15" x14ac:dyDescent="0.2">
      <c r="A416">
        <v>414</v>
      </c>
      <c r="B416" s="11">
        <f t="shared" si="26"/>
        <v>0</v>
      </c>
      <c r="C416">
        <f ca="1">SUM($B$2:B416)/A416</f>
        <v>138.9763011103814</v>
      </c>
      <c r="E416">
        <v>414</v>
      </c>
      <c r="F416" s="11">
        <f t="shared" si="27"/>
        <v>0</v>
      </c>
      <c r="G416">
        <f ca="1">SUM($F$2:F416)/E416</f>
        <v>141.44620651819207</v>
      </c>
      <c r="I416">
        <v>414</v>
      </c>
      <c r="J416">
        <f t="shared" si="28"/>
        <v>0</v>
      </c>
      <c r="K416">
        <f ca="1">SUM($J$2:J416)/I416</f>
        <v>138.9763011103814</v>
      </c>
      <c r="M416">
        <v>414</v>
      </c>
      <c r="N416">
        <f t="shared" si="29"/>
        <v>0</v>
      </c>
      <c r="O416">
        <f ca="1">SUM($N$2:N416)/M416</f>
        <v>141.44620651819207</v>
      </c>
    </row>
    <row r="417" spans="1:15" x14ac:dyDescent="0.2">
      <c r="A417">
        <v>415</v>
      </c>
      <c r="B417" s="11">
        <f t="shared" si="26"/>
        <v>0</v>
      </c>
      <c r="C417">
        <f ca="1">SUM($B$2:B417)/A417</f>
        <v>138.64141845710336</v>
      </c>
      <c r="E417">
        <v>415</v>
      </c>
      <c r="F417" s="11">
        <f t="shared" si="27"/>
        <v>0</v>
      </c>
      <c r="G417">
        <f ca="1">SUM($F$2:F417)/E417</f>
        <v>141.1053722856181</v>
      </c>
      <c r="I417">
        <v>415</v>
      </c>
      <c r="J417">
        <f t="shared" si="28"/>
        <v>0</v>
      </c>
      <c r="K417">
        <f ca="1">SUM($J$2:J417)/I417</f>
        <v>138.64141845710336</v>
      </c>
      <c r="M417">
        <v>415</v>
      </c>
      <c r="N417">
        <f t="shared" si="29"/>
        <v>0</v>
      </c>
      <c r="O417">
        <f ca="1">SUM($N$2:N417)/M417</f>
        <v>141.1053722856181</v>
      </c>
    </row>
    <row r="418" spans="1:15" x14ac:dyDescent="0.2">
      <c r="A418">
        <v>416</v>
      </c>
      <c r="B418" s="11">
        <f t="shared" si="26"/>
        <v>0</v>
      </c>
      <c r="C418">
        <f ca="1">SUM($B$2:B418)/A418</f>
        <v>138.30814581658149</v>
      </c>
      <c r="E418">
        <v>416</v>
      </c>
      <c r="F418" s="11">
        <f t="shared" si="27"/>
        <v>0</v>
      </c>
      <c r="G418">
        <f ca="1">SUM($F$2:F418)/E418</f>
        <v>140.7661766791623</v>
      </c>
      <c r="I418">
        <v>416</v>
      </c>
      <c r="J418">
        <f t="shared" si="28"/>
        <v>0</v>
      </c>
      <c r="K418">
        <f ca="1">SUM($J$2:J418)/I418</f>
        <v>138.30814581658149</v>
      </c>
      <c r="M418">
        <v>416</v>
      </c>
      <c r="N418">
        <f t="shared" si="29"/>
        <v>0</v>
      </c>
      <c r="O418">
        <f ca="1">SUM($N$2:N418)/M418</f>
        <v>140.7661766791623</v>
      </c>
    </row>
    <row r="419" spans="1:15" x14ac:dyDescent="0.2">
      <c r="A419">
        <v>417</v>
      </c>
      <c r="B419" s="11">
        <f t="shared" si="26"/>
        <v>0</v>
      </c>
      <c r="C419">
        <f ca="1">SUM($B$2:B419)/A419</f>
        <v>137.97647160599016</v>
      </c>
      <c r="E419">
        <v>417</v>
      </c>
      <c r="F419" s="11">
        <f t="shared" si="27"/>
        <v>0</v>
      </c>
      <c r="G419">
        <f ca="1">SUM($F$2:F419)/E419</f>
        <v>140.42860791014752</v>
      </c>
      <c r="I419">
        <v>417</v>
      </c>
      <c r="J419">
        <f t="shared" si="28"/>
        <v>0</v>
      </c>
      <c r="K419">
        <f ca="1">SUM($J$2:J419)/I419</f>
        <v>137.97647160599016</v>
      </c>
      <c r="M419">
        <v>417</v>
      </c>
      <c r="N419">
        <f t="shared" si="29"/>
        <v>0</v>
      </c>
      <c r="O419">
        <f ca="1">SUM($N$2:N419)/M419</f>
        <v>140.42860791014752</v>
      </c>
    </row>
    <row r="420" spans="1:15" x14ac:dyDescent="0.2">
      <c r="A420">
        <v>418</v>
      </c>
      <c r="B420" s="11">
        <f t="shared" si="26"/>
        <v>0</v>
      </c>
      <c r="C420">
        <f ca="1">SUM($B$2:B420)/A420</f>
        <v>137.64638435334425</v>
      </c>
      <c r="E420">
        <v>418</v>
      </c>
      <c r="F420" s="11">
        <f t="shared" si="27"/>
        <v>0</v>
      </c>
      <c r="G420">
        <f ca="1">SUM($F$2:F420)/E420</f>
        <v>140.09265430270699</v>
      </c>
      <c r="I420">
        <v>418</v>
      </c>
      <c r="J420">
        <f t="shared" si="28"/>
        <v>0</v>
      </c>
      <c r="K420">
        <f ca="1">SUM($J$2:J420)/I420</f>
        <v>137.64638435334425</v>
      </c>
      <c r="M420">
        <v>418</v>
      </c>
      <c r="N420">
        <f t="shared" si="29"/>
        <v>0</v>
      </c>
      <c r="O420">
        <f ca="1">SUM($N$2:N420)/M420</f>
        <v>140.09265430270699</v>
      </c>
    </row>
    <row r="421" spans="1:15" x14ac:dyDescent="0.2">
      <c r="A421">
        <v>419</v>
      </c>
      <c r="B421" s="11">
        <f t="shared" si="26"/>
        <v>0</v>
      </c>
      <c r="C421">
        <f ca="1">SUM($B$2:B421)/A421</f>
        <v>137.31787269617635</v>
      </c>
      <c r="E421">
        <v>419</v>
      </c>
      <c r="F421" s="11">
        <f t="shared" si="27"/>
        <v>0</v>
      </c>
      <c r="G421">
        <f ca="1">SUM($F$2:F421)/E421</f>
        <v>139.758304292438</v>
      </c>
      <c r="I421">
        <v>419</v>
      </c>
      <c r="J421">
        <f t="shared" si="28"/>
        <v>0</v>
      </c>
      <c r="K421">
        <f ca="1">SUM($J$2:J421)/I421</f>
        <v>137.31787269617635</v>
      </c>
      <c r="M421">
        <v>419</v>
      </c>
      <c r="N421">
        <f t="shared" si="29"/>
        <v>0</v>
      </c>
      <c r="O421">
        <f ca="1">SUM($N$2:N421)/M421</f>
        <v>139.758304292438</v>
      </c>
    </row>
    <row r="422" spans="1:15" x14ac:dyDescent="0.2">
      <c r="A422">
        <v>420</v>
      </c>
      <c r="B422" s="11">
        <f t="shared" si="26"/>
        <v>0</v>
      </c>
      <c r="C422">
        <f ca="1">SUM($B$2:B422)/A422</f>
        <v>136.99092538023308</v>
      </c>
      <c r="E422">
        <v>420</v>
      </c>
      <c r="F422" s="11">
        <f t="shared" si="27"/>
        <v>0</v>
      </c>
      <c r="G422">
        <f ca="1">SUM($F$2:F422)/E422</f>
        <v>139.42554642507503</v>
      </c>
      <c r="I422">
        <v>420</v>
      </c>
      <c r="J422">
        <f t="shared" si="28"/>
        <v>0</v>
      </c>
      <c r="K422">
        <f ca="1">SUM($J$2:J422)/I422</f>
        <v>136.99092538023308</v>
      </c>
      <c r="M422">
        <v>420</v>
      </c>
      <c r="N422">
        <f t="shared" si="29"/>
        <v>0</v>
      </c>
      <c r="O422">
        <f ca="1">SUM($N$2:N422)/M422</f>
        <v>139.42554642507503</v>
      </c>
    </row>
    <row r="423" spans="1:15" x14ac:dyDescent="0.2">
      <c r="A423">
        <v>421</v>
      </c>
      <c r="B423" s="11">
        <f t="shared" si="26"/>
        <v>0</v>
      </c>
      <c r="C423">
        <f ca="1">SUM($B$2:B423)/A423</f>
        <v>136.66553125818979</v>
      </c>
      <c r="E423">
        <v>421</v>
      </c>
      <c r="F423" s="11">
        <f t="shared" si="27"/>
        <v>0</v>
      </c>
      <c r="G423">
        <f ca="1">SUM($F$2:F423)/E423</f>
        <v>139.09436935518175</v>
      </c>
      <c r="I423">
        <v>421</v>
      </c>
      <c r="J423">
        <f t="shared" si="28"/>
        <v>0</v>
      </c>
      <c r="K423">
        <f ca="1">SUM($J$2:J423)/I423</f>
        <v>136.66553125818979</v>
      </c>
      <c r="M423">
        <v>421</v>
      </c>
      <c r="N423">
        <f t="shared" si="29"/>
        <v>0</v>
      </c>
      <c r="O423">
        <f ca="1">SUM($N$2:N423)/M423</f>
        <v>139.09436935518175</v>
      </c>
    </row>
    <row r="424" spans="1:15" x14ac:dyDescent="0.2">
      <c r="A424">
        <v>422</v>
      </c>
      <c r="B424" s="11">
        <f t="shared" si="26"/>
        <v>0</v>
      </c>
      <c r="C424">
        <f ca="1">SUM($B$2:B424)/A424</f>
        <v>136.34167928838363</v>
      </c>
      <c r="E424">
        <v>422</v>
      </c>
      <c r="F424" s="11">
        <f t="shared" si="27"/>
        <v>0</v>
      </c>
      <c r="G424">
        <f ca="1">SUM($F$2:F424)/E424</f>
        <v>138.76476184486143</v>
      </c>
      <c r="I424">
        <v>422</v>
      </c>
      <c r="J424">
        <f t="shared" si="28"/>
        <v>0</v>
      </c>
      <c r="K424">
        <f ca="1">SUM($J$2:J424)/I424</f>
        <v>136.34167928838363</v>
      </c>
      <c r="M424">
        <v>422</v>
      </c>
      <c r="N424">
        <f t="shared" si="29"/>
        <v>0</v>
      </c>
      <c r="O424">
        <f ca="1">SUM($N$2:N424)/M424</f>
        <v>138.76476184486143</v>
      </c>
    </row>
    <row r="425" spans="1:15" x14ac:dyDescent="0.2">
      <c r="A425">
        <v>423</v>
      </c>
      <c r="B425" s="11">
        <f t="shared" si="26"/>
        <v>0</v>
      </c>
      <c r="C425">
        <f ca="1">SUM($B$2:B425)/A425</f>
        <v>136.01935853356477</v>
      </c>
      <c r="E425">
        <v>423</v>
      </c>
      <c r="F425" s="11">
        <f t="shared" si="27"/>
        <v>0</v>
      </c>
      <c r="G425">
        <f ca="1">SUM($F$2:F425)/E425</f>
        <v>138.43671276248585</v>
      </c>
      <c r="I425">
        <v>423</v>
      </c>
      <c r="J425">
        <f t="shared" si="28"/>
        <v>0</v>
      </c>
      <c r="K425">
        <f ca="1">SUM($J$2:J425)/I425</f>
        <v>136.01935853356477</v>
      </c>
      <c r="M425">
        <v>423</v>
      </c>
      <c r="N425">
        <f t="shared" si="29"/>
        <v>0</v>
      </c>
      <c r="O425">
        <f ca="1">SUM($N$2:N425)/M425</f>
        <v>138.43671276248585</v>
      </c>
    </row>
    <row r="426" spans="1:15" x14ac:dyDescent="0.2">
      <c r="A426">
        <v>424</v>
      </c>
      <c r="B426" s="11">
        <f t="shared" si="26"/>
        <v>0</v>
      </c>
      <c r="C426">
        <f ca="1">SUM($B$2:B426)/A426</f>
        <v>135.69855815966486</v>
      </c>
      <c r="E426">
        <v>424</v>
      </c>
      <c r="F426" s="11">
        <f t="shared" si="27"/>
        <v>0</v>
      </c>
      <c r="G426">
        <f ca="1">SUM($F$2:F426)/E426</f>
        <v>138.11021108144226</v>
      </c>
      <c r="I426">
        <v>424</v>
      </c>
      <c r="J426">
        <f t="shared" si="28"/>
        <v>0</v>
      </c>
      <c r="K426">
        <f ca="1">SUM($J$2:J426)/I426</f>
        <v>135.69855815966486</v>
      </c>
      <c r="M426">
        <v>424</v>
      </c>
      <c r="N426">
        <f t="shared" si="29"/>
        <v>0</v>
      </c>
      <c r="O426">
        <f ca="1">SUM($N$2:N426)/M426</f>
        <v>138.11021108144226</v>
      </c>
    </row>
    <row r="427" spans="1:15" x14ac:dyDescent="0.2">
      <c r="A427">
        <v>425</v>
      </c>
      <c r="B427" s="11">
        <f t="shared" si="26"/>
        <v>0</v>
      </c>
      <c r="C427">
        <f ca="1">SUM($B$2:B427)/A427</f>
        <v>135.37926743458328</v>
      </c>
      <c r="E427">
        <v>425</v>
      </c>
      <c r="F427" s="11">
        <f t="shared" si="27"/>
        <v>0</v>
      </c>
      <c r="G427">
        <f ca="1">SUM($F$2:F427)/E427</f>
        <v>137.78524587889768</v>
      </c>
      <c r="I427">
        <v>425</v>
      </c>
      <c r="J427">
        <f t="shared" si="28"/>
        <v>0</v>
      </c>
      <c r="K427">
        <f ca="1">SUM($J$2:J427)/I427</f>
        <v>135.37926743458328</v>
      </c>
      <c r="M427">
        <v>425</v>
      </c>
      <c r="N427">
        <f t="shared" si="29"/>
        <v>0</v>
      </c>
      <c r="O427">
        <f ca="1">SUM($N$2:N427)/M427</f>
        <v>137.78524587889768</v>
      </c>
    </row>
    <row r="428" spans="1:15" x14ac:dyDescent="0.2">
      <c r="A428">
        <v>426</v>
      </c>
      <c r="B428" s="11">
        <f t="shared" si="26"/>
        <v>0</v>
      </c>
      <c r="C428">
        <f ca="1">SUM($B$2:B428)/A428</f>
        <v>135.06147572699035</v>
      </c>
      <c r="E428">
        <v>426</v>
      </c>
      <c r="F428" s="11">
        <f t="shared" si="27"/>
        <v>0</v>
      </c>
      <c r="G428">
        <f ca="1">SUM($F$2:F428)/E428</f>
        <v>137.46180633458101</v>
      </c>
      <c r="I428">
        <v>426</v>
      </c>
      <c r="J428">
        <f t="shared" si="28"/>
        <v>0</v>
      </c>
      <c r="K428">
        <f ca="1">SUM($J$2:J428)/I428</f>
        <v>135.06147572699035</v>
      </c>
      <c r="M428">
        <v>426</v>
      </c>
      <c r="N428">
        <f t="shared" si="29"/>
        <v>0</v>
      </c>
      <c r="O428">
        <f ca="1">SUM($N$2:N428)/M428</f>
        <v>137.46180633458101</v>
      </c>
    </row>
    <row r="429" spans="1:15" x14ac:dyDescent="0.2">
      <c r="A429">
        <v>427</v>
      </c>
      <c r="B429" s="11">
        <f t="shared" si="26"/>
        <v>0</v>
      </c>
      <c r="C429">
        <f ca="1">SUM($B$2:B429)/A429</f>
        <v>134.74517250514728</v>
      </c>
      <c r="E429">
        <v>427</v>
      </c>
      <c r="F429" s="11">
        <f t="shared" si="27"/>
        <v>0</v>
      </c>
      <c r="G429">
        <f ca="1">SUM($F$2:F429)/E429</f>
        <v>137.13988172958202</v>
      </c>
      <c r="I429">
        <v>427</v>
      </c>
      <c r="J429">
        <f t="shared" si="28"/>
        <v>0</v>
      </c>
      <c r="K429">
        <f ca="1">SUM($J$2:J429)/I429</f>
        <v>134.74517250514728</v>
      </c>
      <c r="M429">
        <v>427</v>
      </c>
      <c r="N429">
        <f t="shared" si="29"/>
        <v>0</v>
      </c>
      <c r="O429">
        <f ca="1">SUM($N$2:N429)/M429</f>
        <v>137.13988172958202</v>
      </c>
    </row>
    <row r="430" spans="1:15" x14ac:dyDescent="0.2">
      <c r="A430">
        <v>428</v>
      </c>
      <c r="B430" s="11">
        <f t="shared" si="26"/>
        <v>0</v>
      </c>
      <c r="C430">
        <f ca="1">SUM($B$2:B430)/A430</f>
        <v>134.43034733574274</v>
      </c>
      <c r="E430">
        <v>428</v>
      </c>
      <c r="F430" s="11">
        <f t="shared" si="27"/>
        <v>0</v>
      </c>
      <c r="G430">
        <f ca="1">SUM($F$2:F430)/E430</f>
        <v>136.81946144516709</v>
      </c>
      <c r="I430">
        <v>428</v>
      </c>
      <c r="J430">
        <f t="shared" si="28"/>
        <v>0</v>
      </c>
      <c r="K430">
        <f ca="1">SUM($J$2:J430)/I430</f>
        <v>134.43034733574274</v>
      </c>
      <c r="M430">
        <v>428</v>
      </c>
      <c r="N430">
        <f t="shared" si="29"/>
        <v>0</v>
      </c>
      <c r="O430">
        <f ca="1">SUM($N$2:N430)/M430</f>
        <v>136.81946144516709</v>
      </c>
    </row>
    <row r="431" spans="1:15" x14ac:dyDescent="0.2">
      <c r="A431">
        <v>429</v>
      </c>
      <c r="B431" s="11">
        <f t="shared" si="26"/>
        <v>0</v>
      </c>
      <c r="C431">
        <f ca="1">SUM($B$2:B431)/A431</f>
        <v>134.11698988274568</v>
      </c>
      <c r="E431">
        <v>429</v>
      </c>
      <c r="F431" s="11">
        <f t="shared" si="27"/>
        <v>0</v>
      </c>
      <c r="G431">
        <f ca="1">SUM($F$2:F431)/E431</f>
        <v>136.50053496161192</v>
      </c>
      <c r="I431">
        <v>429</v>
      </c>
      <c r="J431">
        <f t="shared" si="28"/>
        <v>0</v>
      </c>
      <c r="K431">
        <f ca="1">SUM($J$2:J431)/I431</f>
        <v>134.11698988274568</v>
      </c>
      <c r="M431">
        <v>429</v>
      </c>
      <c r="N431">
        <f t="shared" si="29"/>
        <v>0</v>
      </c>
      <c r="O431">
        <f ca="1">SUM($N$2:N431)/M431</f>
        <v>136.50053496161192</v>
      </c>
    </row>
    <row r="432" spans="1:15" x14ac:dyDescent="0.2">
      <c r="A432">
        <v>430</v>
      </c>
      <c r="B432" s="11">
        <f t="shared" si="26"/>
        <v>0</v>
      </c>
      <c r="C432">
        <f ca="1">SUM($B$2:B432)/A432</f>
        <v>133.80508990627416</v>
      </c>
      <c r="E432">
        <v>430</v>
      </c>
      <c r="F432" s="11">
        <f t="shared" si="27"/>
        <v>0</v>
      </c>
      <c r="G432">
        <f ca="1">SUM($F$2:F432)/E432</f>
        <v>136.18309185705004</v>
      </c>
      <c r="I432">
        <v>430</v>
      </c>
      <c r="J432">
        <f t="shared" si="28"/>
        <v>0</v>
      </c>
      <c r="K432">
        <f ca="1">SUM($J$2:J432)/I432</f>
        <v>133.80508990627416</v>
      </c>
      <c r="M432">
        <v>430</v>
      </c>
      <c r="N432">
        <f t="shared" si="29"/>
        <v>0</v>
      </c>
      <c r="O432">
        <f ca="1">SUM($N$2:N432)/M432</f>
        <v>136.18309185705004</v>
      </c>
    </row>
    <row r="433" spans="1:15" x14ac:dyDescent="0.2">
      <c r="A433">
        <v>431</v>
      </c>
      <c r="B433" s="11">
        <f t="shared" si="26"/>
        <v>0</v>
      </c>
      <c r="C433">
        <f ca="1">SUM($B$2:B433)/A433</f>
        <v>133.49463726148002</v>
      </c>
      <c r="E433">
        <v>431</v>
      </c>
      <c r="F433" s="11">
        <f t="shared" si="27"/>
        <v>0</v>
      </c>
      <c r="G433">
        <f ca="1">SUM($F$2:F433)/E433</f>
        <v>135.86712180633762</v>
      </c>
      <c r="I433">
        <v>431</v>
      </c>
      <c r="J433">
        <f t="shared" si="28"/>
        <v>0</v>
      </c>
      <c r="K433">
        <f ca="1">SUM($J$2:J433)/I433</f>
        <v>133.49463726148002</v>
      </c>
      <c r="M433">
        <v>431</v>
      </c>
      <c r="N433">
        <f t="shared" si="29"/>
        <v>0</v>
      </c>
      <c r="O433">
        <f ca="1">SUM($N$2:N433)/M433</f>
        <v>135.86712180633762</v>
      </c>
    </row>
    <row r="434" spans="1:15" x14ac:dyDescent="0.2">
      <c r="A434">
        <v>432</v>
      </c>
      <c r="B434" s="11">
        <f t="shared" si="26"/>
        <v>0</v>
      </c>
      <c r="C434">
        <f ca="1">SUM($B$2:B434)/A434</f>
        <v>133.18562189744884</v>
      </c>
      <c r="E434">
        <v>432</v>
      </c>
      <c r="F434" s="11">
        <f t="shared" si="27"/>
        <v>0</v>
      </c>
      <c r="G434">
        <f ca="1">SUM($F$2:F434)/E434</f>
        <v>135.55261457993407</v>
      </c>
      <c r="I434">
        <v>432</v>
      </c>
      <c r="J434">
        <f t="shared" si="28"/>
        <v>0</v>
      </c>
      <c r="K434">
        <f ca="1">SUM($J$2:J434)/I434</f>
        <v>133.18562189744884</v>
      </c>
      <c r="M434">
        <v>432</v>
      </c>
      <c r="N434">
        <f t="shared" si="29"/>
        <v>0</v>
      </c>
      <c r="O434">
        <f ca="1">SUM($N$2:N434)/M434</f>
        <v>135.55261457993407</v>
      </c>
    </row>
    <row r="435" spans="1:15" x14ac:dyDescent="0.2">
      <c r="A435">
        <v>433</v>
      </c>
      <c r="B435" s="11">
        <f t="shared" si="26"/>
        <v>0</v>
      </c>
      <c r="C435">
        <f ca="1">SUM($B$2:B435)/A435</f>
        <v>132.87803385611522</v>
      </c>
      <c r="E435">
        <v>433</v>
      </c>
      <c r="F435" s="11">
        <f t="shared" si="27"/>
        <v>0</v>
      </c>
      <c r="G435">
        <f ca="1">SUM($F$2:F435)/E435</f>
        <v>135.23956004279796</v>
      </c>
      <c r="I435">
        <v>433</v>
      </c>
      <c r="J435">
        <f t="shared" si="28"/>
        <v>0</v>
      </c>
      <c r="K435">
        <f ca="1">SUM($J$2:J435)/I435</f>
        <v>132.87803385611522</v>
      </c>
      <c r="M435">
        <v>433</v>
      </c>
      <c r="N435">
        <f t="shared" si="29"/>
        <v>0</v>
      </c>
      <c r="O435">
        <f ca="1">SUM($N$2:N435)/M435</f>
        <v>135.23956004279796</v>
      </c>
    </row>
    <row r="436" spans="1:15" x14ac:dyDescent="0.2">
      <c r="A436">
        <v>434</v>
      </c>
      <c r="B436" s="11">
        <f t="shared" si="26"/>
        <v>0</v>
      </c>
      <c r="C436">
        <f ca="1">SUM($B$2:B436)/A436</f>
        <v>132.57186327119331</v>
      </c>
      <c r="E436">
        <v>434</v>
      </c>
      <c r="F436" s="11">
        <f t="shared" si="27"/>
        <v>0</v>
      </c>
      <c r="G436">
        <f ca="1">SUM($F$2:F436)/E436</f>
        <v>134.92794815329842</v>
      </c>
      <c r="I436">
        <v>434</v>
      </c>
      <c r="J436">
        <f t="shared" si="28"/>
        <v>0</v>
      </c>
      <c r="K436">
        <f ca="1">SUM($J$2:J436)/I436</f>
        <v>132.57186327119331</v>
      </c>
      <c r="M436">
        <v>434</v>
      </c>
      <c r="N436">
        <f t="shared" si="29"/>
        <v>0</v>
      </c>
      <c r="O436">
        <f ca="1">SUM($N$2:N436)/M436</f>
        <v>134.92794815329842</v>
      </c>
    </row>
    <row r="437" spans="1:15" x14ac:dyDescent="0.2">
      <c r="A437">
        <v>435</v>
      </c>
      <c r="B437" s="11">
        <f t="shared" si="26"/>
        <v>0</v>
      </c>
      <c r="C437">
        <f ca="1">SUM($B$2:B437)/A437</f>
        <v>132.2671003671216</v>
      </c>
      <c r="E437">
        <v>435</v>
      </c>
      <c r="F437" s="11">
        <f t="shared" si="27"/>
        <v>0</v>
      </c>
      <c r="G437">
        <f ca="1">SUM($F$2:F437)/E437</f>
        <v>134.61776896214141</v>
      </c>
      <c r="I437">
        <v>435</v>
      </c>
      <c r="J437">
        <f t="shared" si="28"/>
        <v>0</v>
      </c>
      <c r="K437">
        <f ca="1">SUM($J$2:J437)/I437</f>
        <v>132.2671003671216</v>
      </c>
      <c r="M437">
        <v>435</v>
      </c>
      <c r="N437">
        <f t="shared" si="29"/>
        <v>0</v>
      </c>
      <c r="O437">
        <f ca="1">SUM($N$2:N437)/M437</f>
        <v>134.61776896214141</v>
      </c>
    </row>
    <row r="438" spans="1:15" x14ac:dyDescent="0.2">
      <c r="A438">
        <v>436</v>
      </c>
      <c r="B438" s="11">
        <f t="shared" si="26"/>
        <v>0</v>
      </c>
      <c r="C438">
        <f ca="1">SUM($B$2:B438)/A438</f>
        <v>131.96373545802268</v>
      </c>
      <c r="E438">
        <v>436</v>
      </c>
      <c r="F438" s="11">
        <f t="shared" si="27"/>
        <v>0</v>
      </c>
      <c r="G438">
        <f ca="1">SUM($F$2:F438)/E438</f>
        <v>134.30901261131081</v>
      </c>
      <c r="I438">
        <v>436</v>
      </c>
      <c r="J438">
        <f t="shared" si="28"/>
        <v>0</v>
      </c>
      <c r="K438">
        <f ca="1">SUM($J$2:J438)/I438</f>
        <v>131.96373545802268</v>
      </c>
      <c r="M438">
        <v>436</v>
      </c>
      <c r="N438">
        <f t="shared" si="29"/>
        <v>0</v>
      </c>
      <c r="O438">
        <f ca="1">SUM($N$2:N438)/M438</f>
        <v>134.30901261131081</v>
      </c>
    </row>
    <row r="439" spans="1:15" x14ac:dyDescent="0.2">
      <c r="A439">
        <v>437</v>
      </c>
      <c r="B439" s="11">
        <f t="shared" si="26"/>
        <v>0</v>
      </c>
      <c r="C439">
        <f ca="1">SUM($B$2:B439)/A439</f>
        <v>131.66175894667711</v>
      </c>
      <c r="E439">
        <v>437</v>
      </c>
      <c r="F439" s="11">
        <f t="shared" si="27"/>
        <v>0</v>
      </c>
      <c r="G439">
        <f ca="1">SUM($F$2:F439)/E439</f>
        <v>134.00166933302407</v>
      </c>
      <c r="I439">
        <v>437</v>
      </c>
      <c r="J439">
        <f t="shared" si="28"/>
        <v>0</v>
      </c>
      <c r="K439">
        <f ca="1">SUM($J$2:J439)/I439</f>
        <v>131.66175894667711</v>
      </c>
      <c r="M439">
        <v>437</v>
      </c>
      <c r="N439">
        <f t="shared" si="29"/>
        <v>0</v>
      </c>
      <c r="O439">
        <f ca="1">SUM($N$2:N439)/M439</f>
        <v>134.00166933302407</v>
      </c>
    </row>
    <row r="440" spans="1:15" x14ac:dyDescent="0.2">
      <c r="A440">
        <v>438</v>
      </c>
      <c r="B440" s="11">
        <f t="shared" si="26"/>
        <v>0</v>
      </c>
      <c r="C440">
        <f ca="1">SUM($B$2:B440)/A440</f>
        <v>131.36116132351117</v>
      </c>
      <c r="E440">
        <v>438</v>
      </c>
      <c r="F440" s="11">
        <f t="shared" si="27"/>
        <v>0</v>
      </c>
      <c r="G440">
        <f ca="1">SUM($F$2:F440)/E440</f>
        <v>133.69572944870208</v>
      </c>
      <c r="I440">
        <v>438</v>
      </c>
      <c r="J440">
        <f t="shared" si="28"/>
        <v>0</v>
      </c>
      <c r="K440">
        <f ca="1">SUM($J$2:J440)/I440</f>
        <v>131.36116132351117</v>
      </c>
      <c r="M440">
        <v>438</v>
      </c>
      <c r="N440">
        <f t="shared" si="29"/>
        <v>0</v>
      </c>
      <c r="O440">
        <f ca="1">SUM($N$2:N440)/M440</f>
        <v>133.69572944870208</v>
      </c>
    </row>
    <row r="441" spans="1:15" x14ac:dyDescent="0.2">
      <c r="A441">
        <v>439</v>
      </c>
      <c r="B441" s="11">
        <f t="shared" si="26"/>
        <v>0</v>
      </c>
      <c r="C441">
        <f ca="1">SUM($B$2:B441)/A441</f>
        <v>131.06193316559884</v>
      </c>
      <c r="E441">
        <v>439</v>
      </c>
      <c r="F441" s="11">
        <f t="shared" si="27"/>
        <v>0</v>
      </c>
      <c r="G441">
        <f ca="1">SUM($F$2:F441)/E441</f>
        <v>133.39118336795335</v>
      </c>
      <c r="I441">
        <v>439</v>
      </c>
      <c r="J441">
        <f t="shared" si="28"/>
        <v>0</v>
      </c>
      <c r="K441">
        <f ca="1">SUM($J$2:J441)/I441</f>
        <v>131.06193316559884</v>
      </c>
      <c r="M441">
        <v>439</v>
      </c>
      <c r="N441">
        <f t="shared" si="29"/>
        <v>0</v>
      </c>
      <c r="O441">
        <f ca="1">SUM($N$2:N441)/M441</f>
        <v>133.39118336795335</v>
      </c>
    </row>
    <row r="442" spans="1:15" x14ac:dyDescent="0.2">
      <c r="A442">
        <v>440</v>
      </c>
      <c r="B442" s="11">
        <f t="shared" si="26"/>
        <v>0</v>
      </c>
      <c r="C442">
        <f ca="1">SUM($B$2:B442)/A442</f>
        <v>130.76406513567704</v>
      </c>
      <c r="E442">
        <v>440</v>
      </c>
      <c r="F442" s="11">
        <f t="shared" si="27"/>
        <v>0</v>
      </c>
      <c r="G442">
        <f ca="1">SUM($F$2:F442)/E442</f>
        <v>133.08802158757163</v>
      </c>
      <c r="I442">
        <v>440</v>
      </c>
      <c r="J442">
        <f t="shared" si="28"/>
        <v>0</v>
      </c>
      <c r="K442">
        <f ca="1">SUM($J$2:J442)/I442</f>
        <v>130.76406513567704</v>
      </c>
      <c r="M442">
        <v>440</v>
      </c>
      <c r="N442">
        <f t="shared" si="29"/>
        <v>0</v>
      </c>
      <c r="O442">
        <f ca="1">SUM($N$2:N442)/M442</f>
        <v>133.08802158757163</v>
      </c>
    </row>
    <row r="443" spans="1:15" x14ac:dyDescent="0.2">
      <c r="A443">
        <v>441</v>
      </c>
      <c r="B443" s="11">
        <f t="shared" si="26"/>
        <v>0</v>
      </c>
      <c r="C443">
        <f ca="1">SUM($B$2:B443)/A443</f>
        <v>130.46754798117436</v>
      </c>
      <c r="E443">
        <v>441</v>
      </c>
      <c r="F443" s="11">
        <f t="shared" si="27"/>
        <v>0</v>
      </c>
      <c r="G443">
        <f ca="1">SUM($F$2:F443)/E443</f>
        <v>132.78623469054764</v>
      </c>
      <c r="I443">
        <v>441</v>
      </c>
      <c r="J443">
        <f t="shared" si="28"/>
        <v>0</v>
      </c>
      <c r="K443">
        <f ca="1">SUM($J$2:J443)/I443</f>
        <v>130.46754798117436</v>
      </c>
      <c r="M443">
        <v>441</v>
      </c>
      <c r="N443">
        <f t="shared" si="29"/>
        <v>0</v>
      </c>
      <c r="O443">
        <f ca="1">SUM($N$2:N443)/M443</f>
        <v>132.78623469054764</v>
      </c>
    </row>
    <row r="444" spans="1:15" x14ac:dyDescent="0.2">
      <c r="A444">
        <v>442</v>
      </c>
      <c r="B444" s="11">
        <f t="shared" si="26"/>
        <v>0</v>
      </c>
      <c r="C444">
        <f ca="1">SUM($B$2:B444)/A444</f>
        <v>130.17237253325317</v>
      </c>
      <c r="E444">
        <v>442</v>
      </c>
      <c r="F444" s="11">
        <f t="shared" si="27"/>
        <v>0</v>
      </c>
      <c r="G444">
        <f ca="1">SUM($F$2:F444)/E444</f>
        <v>132.48581334509393</v>
      </c>
      <c r="I444">
        <v>442</v>
      </c>
      <c r="J444">
        <f t="shared" si="28"/>
        <v>0</v>
      </c>
      <c r="K444">
        <f ca="1">SUM($J$2:J444)/I444</f>
        <v>130.17237253325317</v>
      </c>
      <c r="M444">
        <v>442</v>
      </c>
      <c r="N444">
        <f t="shared" si="29"/>
        <v>0</v>
      </c>
      <c r="O444">
        <f ca="1">SUM($N$2:N444)/M444</f>
        <v>132.48581334509393</v>
      </c>
    </row>
    <row r="445" spans="1:15" x14ac:dyDescent="0.2">
      <c r="A445">
        <v>443</v>
      </c>
      <c r="B445" s="11">
        <f t="shared" si="26"/>
        <v>0</v>
      </c>
      <c r="C445">
        <f ca="1">SUM($B$2:B445)/A445</f>
        <v>129.87852970586431</v>
      </c>
      <c r="E445">
        <v>443</v>
      </c>
      <c r="F445" s="11">
        <f t="shared" si="27"/>
        <v>0</v>
      </c>
      <c r="G445">
        <f ca="1">SUM($F$2:F445)/E445</f>
        <v>132.18674830368289</v>
      </c>
      <c r="I445">
        <v>443</v>
      </c>
      <c r="J445">
        <f t="shared" si="28"/>
        <v>0</v>
      </c>
      <c r="K445">
        <f ca="1">SUM($J$2:J445)/I445</f>
        <v>129.87852970586431</v>
      </c>
      <c r="M445">
        <v>443</v>
      </c>
      <c r="N445">
        <f t="shared" si="29"/>
        <v>0</v>
      </c>
      <c r="O445">
        <f ca="1">SUM($N$2:N445)/M445</f>
        <v>132.18674830368289</v>
      </c>
    </row>
    <row r="446" spans="1:15" x14ac:dyDescent="0.2">
      <c r="A446">
        <v>444</v>
      </c>
      <c r="B446" s="11">
        <f t="shared" si="26"/>
        <v>0</v>
      </c>
      <c r="C446">
        <f ca="1">SUM($B$2:B446)/A446</f>
        <v>129.58601049481507</v>
      </c>
      <c r="E446">
        <v>444</v>
      </c>
      <c r="F446" s="11">
        <f t="shared" si="27"/>
        <v>0</v>
      </c>
      <c r="G446">
        <f ca="1">SUM($F$2:F446)/E446</f>
        <v>131.889030402098</v>
      </c>
      <c r="I446">
        <v>444</v>
      </c>
      <c r="J446">
        <f t="shared" si="28"/>
        <v>0</v>
      </c>
      <c r="K446">
        <f ca="1">SUM($J$2:J446)/I446</f>
        <v>129.58601049481507</v>
      </c>
      <c r="M446">
        <v>444</v>
      </c>
      <c r="N446">
        <f t="shared" si="29"/>
        <v>0</v>
      </c>
      <c r="O446">
        <f ca="1">SUM($N$2:N446)/M446</f>
        <v>131.889030402098</v>
      </c>
    </row>
    <row r="447" spans="1:15" x14ac:dyDescent="0.2">
      <c r="A447">
        <v>445</v>
      </c>
      <c r="B447" s="11">
        <f t="shared" si="26"/>
        <v>0</v>
      </c>
      <c r="C447">
        <f ca="1">SUM($B$2:B447)/A447</f>
        <v>129.2948059768492</v>
      </c>
      <c r="E447">
        <v>445</v>
      </c>
      <c r="F447" s="11">
        <f t="shared" si="27"/>
        <v>0</v>
      </c>
      <c r="G447">
        <f ca="1">SUM($F$2:F447)/E447</f>
        <v>131.59265055849778</v>
      </c>
      <c r="I447">
        <v>445</v>
      </c>
      <c r="J447">
        <f t="shared" si="28"/>
        <v>0</v>
      </c>
      <c r="K447">
        <f ca="1">SUM($J$2:J447)/I447</f>
        <v>129.2948059768492</v>
      </c>
      <c r="M447">
        <v>445</v>
      </c>
      <c r="N447">
        <f t="shared" si="29"/>
        <v>0</v>
      </c>
      <c r="O447">
        <f ca="1">SUM($N$2:N447)/M447</f>
        <v>131.59265055849778</v>
      </c>
    </row>
    <row r="448" spans="1:15" x14ac:dyDescent="0.2">
      <c r="A448">
        <v>446</v>
      </c>
      <c r="B448" s="11">
        <f t="shared" si="26"/>
        <v>0</v>
      </c>
      <c r="C448">
        <f ca="1">SUM($B$2:B448)/A448</f>
        <v>129.00490730873966</v>
      </c>
      <c r="E448">
        <v>446</v>
      </c>
      <c r="F448" s="11">
        <f t="shared" si="27"/>
        <v>0</v>
      </c>
      <c r="G448">
        <f ca="1">SUM($F$2:F448)/E448</f>
        <v>131.29759977249219</v>
      </c>
      <c r="I448">
        <v>446</v>
      </c>
      <c r="J448">
        <f t="shared" si="28"/>
        <v>0</v>
      </c>
      <c r="K448">
        <f ca="1">SUM($J$2:J448)/I448</f>
        <v>129.00490730873966</v>
      </c>
      <c r="M448">
        <v>446</v>
      </c>
      <c r="N448">
        <f t="shared" si="29"/>
        <v>0</v>
      </c>
      <c r="O448">
        <f ca="1">SUM($N$2:N448)/M448</f>
        <v>131.29759977249219</v>
      </c>
    </row>
    <row r="449" spans="1:15" x14ac:dyDescent="0.2">
      <c r="A449">
        <v>447</v>
      </c>
      <c r="B449" s="11">
        <f t="shared" si="26"/>
        <v>0</v>
      </c>
      <c r="C449">
        <f ca="1">SUM($B$2:B449)/A449</f>
        <v>128.7163057263935</v>
      </c>
      <c r="E449">
        <v>447</v>
      </c>
      <c r="F449" s="11">
        <f t="shared" si="27"/>
        <v>0</v>
      </c>
      <c r="G449">
        <f ca="1">SUM($F$2:F449)/E449</f>
        <v>131.00386912423158</v>
      </c>
      <c r="I449">
        <v>447</v>
      </c>
      <c r="J449">
        <f t="shared" si="28"/>
        <v>0</v>
      </c>
      <c r="K449">
        <f ca="1">SUM($J$2:J449)/I449</f>
        <v>128.7163057263935</v>
      </c>
      <c r="M449">
        <v>447</v>
      </c>
      <c r="N449">
        <f t="shared" si="29"/>
        <v>0</v>
      </c>
      <c r="O449">
        <f ca="1">SUM($N$2:N449)/M449</f>
        <v>131.00386912423158</v>
      </c>
    </row>
    <row r="450" spans="1:15" x14ac:dyDescent="0.2">
      <c r="A450">
        <v>448</v>
      </c>
      <c r="B450" s="11">
        <f t="shared" si="26"/>
        <v>0</v>
      </c>
      <c r="C450">
        <f ca="1">SUM($B$2:B450)/A450</f>
        <v>128.42899254396852</v>
      </c>
      <c r="E450">
        <v>448</v>
      </c>
      <c r="F450" s="11">
        <f t="shared" si="27"/>
        <v>0</v>
      </c>
      <c r="G450">
        <f ca="1">SUM($F$2:F450)/E450</f>
        <v>130.71144977350784</v>
      </c>
      <c r="I450">
        <v>448</v>
      </c>
      <c r="J450">
        <f t="shared" si="28"/>
        <v>0</v>
      </c>
      <c r="K450">
        <f ca="1">SUM($J$2:J450)/I450</f>
        <v>128.42899254396852</v>
      </c>
      <c r="M450">
        <v>448</v>
      </c>
      <c r="N450">
        <f t="shared" si="29"/>
        <v>0</v>
      </c>
      <c r="O450">
        <f ca="1">SUM($N$2:N450)/M450</f>
        <v>130.71144977350784</v>
      </c>
    </row>
    <row r="451" spans="1:15" x14ac:dyDescent="0.2">
      <c r="A451">
        <v>449</v>
      </c>
      <c r="B451" s="11">
        <f t="shared" ref="B451:B514" si="30">IF(ARCap-IF((A451-IF(A451/180&gt;1,ROUNDDOWN(A451/180,0)*180,0))/30&lt;=1,IF(200*15*BaseSpeed/60*(YellowConnects+WhiteMHConnects+WhiteOHConnects+HoJConnects+WindfuryConnects+SSConnects+IronfoeConnects)*(A451-180*ROUNDDOWN(A451/180,0))&gt;1200,1200,200*15*BaseSpeed/60*(YellowConnects+WhiteMHConnects+WhiteOHConnects+HoJConnects+WindfuryConnects+SSConnects+IronfoeConnects)*(A451-180*ROUNDDOWN(A451/180,0))),0)&lt;0,ARCap,IF((A451-IF(A451/180&gt;1,ROUNDDOWN(A450/180,0)*180,0))/30&lt;=1,IF(200*15*BaseSpeed/60*(YellowConnects+WhiteMHConnects+WhiteOHConnects+HoJConnects+WindfuryConnects+SSConnects+IronfoeConnects)*(A451-180*ROUNDDOWN(A451/180,0))&gt;1200,1200,200*15*BaseSpeed/60*(YellowConnects+WhiteMHConnects+WhiteOHConnects+HoJConnects+WindfuryConnects+SSConnects+IronfoeConnects)*(A451-180*ROUNDDOWN(A451/180,0))),0))</f>
        <v>0</v>
      </c>
      <c r="C451">
        <f ca="1">SUM($B$2:B451)/A451</f>
        <v>128.14295915300198</v>
      </c>
      <c r="E451">
        <v>449</v>
      </c>
      <c r="F451" s="11">
        <f t="shared" ref="F451:F514" si="31">IF(ARCap-IF((A451-IF(A451/180&gt;1,ROUNDDOWN(A451/180,0)*180,0))/30&lt;=1,IF(200*15*BaseSpeed/60*(YellowConnects20+WhiteMHConnects20+WhiteOHConnects20+HoJConnects20+WindfuryConnects20+SSConnects20+IronfoeConnects20)*(A451-180*ROUNDDOWN(A451/180,0))&gt;1200,1200,200*15*BaseSpeed/60*(YellowConnects20+WhiteMHConnects20+WhiteOHConnects20+HoJConnects20+WindfuryConnects20+SSConnects20+IronfoeConnects20)*(A451-180*ROUNDDOWN(A451/180,0))),0)&lt;0,ARCap,IF((A451-IF(A451/180&gt;1,ROUNDDOWN(A451/180,0)*180,0))/30&lt;=1,IF(200*15*BaseSpeed/60*(YellowConnects20+WhiteMHConnects20+WhiteOHConnects20+HoJConnects20+WindfuryConnects20+SSConnects20+IronfoeConnects20)*(A451-180*ROUNDDOWN(A451/180,0))&gt;1200,1200,200*15*BaseSpeed/60*(YellowConnects20+WhiteMHConnects20+WhiteOHConnects20+HoJConnects20+WindfuryConnects20+SSConnects20+IronfoeConnects20)*(A451-180*ROUNDDOWN(A451/180,0))),0))</f>
        <v>0</v>
      </c>
      <c r="G451">
        <f ca="1">SUM($F$2:F451)/E451</f>
        <v>130.42033295886753</v>
      </c>
      <c r="I451">
        <v>449</v>
      </c>
      <c r="J451">
        <f t="shared" ref="J451:J514" si="32">IF(ARCap-(B451+BRE)&lt;0,ARCap,B451+BRE)</f>
        <v>0</v>
      </c>
      <c r="K451">
        <f ca="1">SUM($J$2:J451)/I451</f>
        <v>128.14295915300198</v>
      </c>
      <c r="M451">
        <v>449</v>
      </c>
      <c r="N451">
        <f t="shared" ref="N451:N514" si="33">IF(ARCap-(F451+BREArmorReduction20)&lt;0,ARCap,F451+BREArmorReduction20)</f>
        <v>0</v>
      </c>
      <c r="O451">
        <f ca="1">SUM($N$2:N451)/M451</f>
        <v>130.42033295886753</v>
      </c>
    </row>
    <row r="452" spans="1:15" x14ac:dyDescent="0.2">
      <c r="A452">
        <v>450</v>
      </c>
      <c r="B452" s="11">
        <f t="shared" si="30"/>
        <v>0</v>
      </c>
      <c r="C452">
        <f ca="1">SUM($B$2:B452)/A452</f>
        <v>127.85819702155088</v>
      </c>
      <c r="E452">
        <v>450</v>
      </c>
      <c r="F452" s="11">
        <f t="shared" si="31"/>
        <v>0</v>
      </c>
      <c r="G452">
        <f ca="1">SUM($F$2:F452)/E452</f>
        <v>130.13050999673669</v>
      </c>
      <c r="I452">
        <v>450</v>
      </c>
      <c r="J452">
        <f t="shared" si="32"/>
        <v>0</v>
      </c>
      <c r="K452">
        <f ca="1">SUM($J$2:J452)/I452</f>
        <v>127.85819702155088</v>
      </c>
      <c r="M452">
        <v>450</v>
      </c>
      <c r="N452">
        <f t="shared" si="33"/>
        <v>0</v>
      </c>
      <c r="O452">
        <f ca="1">SUM($N$2:N452)/M452</f>
        <v>130.13050999673669</v>
      </c>
    </row>
    <row r="453" spans="1:15" x14ac:dyDescent="0.2">
      <c r="A453">
        <v>451</v>
      </c>
      <c r="B453" s="11">
        <f t="shared" si="30"/>
        <v>0</v>
      </c>
      <c r="C453">
        <f ca="1">SUM($B$2:B453)/A453</f>
        <v>127.57469769334345</v>
      </c>
      <c r="E453">
        <v>451</v>
      </c>
      <c r="F453" s="11">
        <f t="shared" si="31"/>
        <v>0</v>
      </c>
      <c r="G453">
        <f ca="1">SUM($F$2:F453)/E453</f>
        <v>129.84197228055768</v>
      </c>
      <c r="I453">
        <v>451</v>
      </c>
      <c r="J453">
        <f t="shared" si="32"/>
        <v>0</v>
      </c>
      <c r="K453">
        <f ca="1">SUM($J$2:J453)/I453</f>
        <v>127.57469769334345</v>
      </c>
      <c r="M453">
        <v>451</v>
      </c>
      <c r="N453">
        <f t="shared" si="33"/>
        <v>0</v>
      </c>
      <c r="O453">
        <f ca="1">SUM($N$2:N453)/M453</f>
        <v>129.84197228055768</v>
      </c>
    </row>
    <row r="454" spans="1:15" x14ac:dyDescent="0.2">
      <c r="A454">
        <v>452</v>
      </c>
      <c r="B454" s="11">
        <f t="shared" si="30"/>
        <v>0</v>
      </c>
      <c r="C454">
        <f ca="1">SUM($B$2:B454)/A454</f>
        <v>127.29245278694225</v>
      </c>
      <c r="E454">
        <v>452</v>
      </c>
      <c r="F454" s="11">
        <f t="shared" si="31"/>
        <v>0</v>
      </c>
      <c r="G454">
        <f ca="1">SUM($F$2:F454)/E454</f>
        <v>129.55471127993698</v>
      </c>
      <c r="I454">
        <v>452</v>
      </c>
      <c r="J454">
        <f t="shared" si="32"/>
        <v>0</v>
      </c>
      <c r="K454">
        <f ca="1">SUM($J$2:J454)/I454</f>
        <v>127.29245278694225</v>
      </c>
      <c r="M454">
        <v>452</v>
      </c>
      <c r="N454">
        <f t="shared" si="33"/>
        <v>0</v>
      </c>
      <c r="O454">
        <f ca="1">SUM($N$2:N454)/M454</f>
        <v>129.55471127993698</v>
      </c>
    </row>
    <row r="455" spans="1:15" x14ac:dyDescent="0.2">
      <c r="A455">
        <v>453</v>
      </c>
      <c r="B455" s="11">
        <f t="shared" si="30"/>
        <v>0</v>
      </c>
      <c r="C455">
        <f ca="1">SUM($B$2:B455)/A455</f>
        <v>127.01145399491809</v>
      </c>
      <c r="E455">
        <v>453</v>
      </c>
      <c r="F455" s="11">
        <f t="shared" si="31"/>
        <v>0</v>
      </c>
      <c r="G455">
        <f ca="1">SUM($F$2:F455)/E455</f>
        <v>129.26871853980467</v>
      </c>
      <c r="I455">
        <v>453</v>
      </c>
      <c r="J455">
        <f t="shared" si="32"/>
        <v>0</v>
      </c>
      <c r="K455">
        <f ca="1">SUM($J$2:J455)/I455</f>
        <v>127.01145399491809</v>
      </c>
      <c r="M455">
        <v>453</v>
      </c>
      <c r="N455">
        <f t="shared" si="33"/>
        <v>0</v>
      </c>
      <c r="O455">
        <f ca="1">SUM($N$2:N455)/M455</f>
        <v>129.26871853980467</v>
      </c>
    </row>
    <row r="456" spans="1:15" x14ac:dyDescent="0.2">
      <c r="A456">
        <v>454</v>
      </c>
      <c r="B456" s="11">
        <f t="shared" si="30"/>
        <v>0</v>
      </c>
      <c r="C456">
        <f ca="1">SUM($B$2:B456)/A456</f>
        <v>126.73169308303501</v>
      </c>
      <c r="E456">
        <v>454</v>
      </c>
      <c r="F456" s="11">
        <f t="shared" si="31"/>
        <v>0</v>
      </c>
      <c r="G456">
        <f ca="1">SUM($F$2:F456)/E456</f>
        <v>128.98398567958483</v>
      </c>
      <c r="I456">
        <v>454</v>
      </c>
      <c r="J456">
        <f t="shared" si="32"/>
        <v>0</v>
      </c>
      <c r="K456">
        <f ca="1">SUM($J$2:J456)/I456</f>
        <v>126.73169308303501</v>
      </c>
      <c r="M456">
        <v>454</v>
      </c>
      <c r="N456">
        <f t="shared" si="33"/>
        <v>0</v>
      </c>
      <c r="O456">
        <f ca="1">SUM($N$2:N456)/M456</f>
        <v>128.98398567958483</v>
      </c>
    </row>
    <row r="457" spans="1:15" x14ac:dyDescent="0.2">
      <c r="A457">
        <v>455</v>
      </c>
      <c r="B457" s="11">
        <f t="shared" si="30"/>
        <v>0</v>
      </c>
      <c r="C457">
        <f ca="1">SUM($B$2:B457)/A457</f>
        <v>126.45316188944592</v>
      </c>
      <c r="E457">
        <v>455</v>
      </c>
      <c r="F457" s="11">
        <f t="shared" si="31"/>
        <v>0</v>
      </c>
      <c r="G457">
        <f ca="1">SUM($F$2:F457)/E457</f>
        <v>128.70050439237696</v>
      </c>
      <c r="I457">
        <v>455</v>
      </c>
      <c r="J457">
        <f t="shared" si="32"/>
        <v>0</v>
      </c>
      <c r="K457">
        <f ca="1">SUM($J$2:J457)/I457</f>
        <v>126.45316188944592</v>
      </c>
      <c r="M457">
        <v>455</v>
      </c>
      <c r="N457">
        <f t="shared" si="33"/>
        <v>0</v>
      </c>
      <c r="O457">
        <f ca="1">SUM($N$2:N457)/M457</f>
        <v>128.70050439237696</v>
      </c>
    </row>
    <row r="458" spans="1:15" x14ac:dyDescent="0.2">
      <c r="A458">
        <v>456</v>
      </c>
      <c r="B458" s="11">
        <f t="shared" si="30"/>
        <v>0</v>
      </c>
      <c r="C458">
        <f ca="1">SUM($B$2:B458)/A458</f>
        <v>126.17585232389889</v>
      </c>
      <c r="E458">
        <v>456</v>
      </c>
      <c r="F458" s="11">
        <f t="shared" si="31"/>
        <v>0</v>
      </c>
      <c r="G458">
        <f ca="1">SUM($F$2:F458)/E458</f>
        <v>128.41826644414806</v>
      </c>
      <c r="I458">
        <v>456</v>
      </c>
      <c r="J458">
        <f t="shared" si="32"/>
        <v>0</v>
      </c>
      <c r="K458">
        <f ca="1">SUM($J$2:J458)/I458</f>
        <v>126.17585232389889</v>
      </c>
      <c r="M458">
        <v>456</v>
      </c>
      <c r="N458">
        <f t="shared" si="33"/>
        <v>0</v>
      </c>
      <c r="O458">
        <f ca="1">SUM($N$2:N458)/M458</f>
        <v>128.41826644414806</v>
      </c>
    </row>
    <row r="459" spans="1:15" x14ac:dyDescent="0.2">
      <c r="A459">
        <v>457</v>
      </c>
      <c r="B459" s="11">
        <f t="shared" si="30"/>
        <v>0</v>
      </c>
      <c r="C459">
        <f ca="1">SUM($B$2:B459)/A459</f>
        <v>125.89975636695382</v>
      </c>
      <c r="E459">
        <v>457</v>
      </c>
      <c r="F459" s="11">
        <f t="shared" si="31"/>
        <v>0</v>
      </c>
      <c r="G459">
        <f ca="1">SUM($F$2:F459)/E459</f>
        <v>128.13726367293549</v>
      </c>
      <c r="I459">
        <v>457</v>
      </c>
      <c r="J459">
        <f t="shared" si="32"/>
        <v>0</v>
      </c>
      <c r="K459">
        <f ca="1">SUM($J$2:J459)/I459</f>
        <v>125.89975636695382</v>
      </c>
      <c r="M459">
        <v>457</v>
      </c>
      <c r="N459">
        <f t="shared" si="33"/>
        <v>0</v>
      </c>
      <c r="O459">
        <f ca="1">SUM($N$2:N459)/M459</f>
        <v>128.13726367293549</v>
      </c>
    </row>
    <row r="460" spans="1:15" x14ac:dyDescent="0.2">
      <c r="A460">
        <v>458</v>
      </c>
      <c r="B460" s="11">
        <f t="shared" si="30"/>
        <v>0</v>
      </c>
      <c r="C460">
        <f ca="1">SUM($B$2:B460)/A460</f>
        <v>125.62486606920938</v>
      </c>
      <c r="E460">
        <v>458</v>
      </c>
      <c r="F460" s="11">
        <f t="shared" si="31"/>
        <v>0</v>
      </c>
      <c r="G460">
        <f ca="1">SUM($F$2:F460)/E460</f>
        <v>127.85748798806009</v>
      </c>
      <c r="I460">
        <v>458</v>
      </c>
      <c r="J460">
        <f t="shared" si="32"/>
        <v>0</v>
      </c>
      <c r="K460">
        <f ca="1">SUM($J$2:J460)/I460</f>
        <v>125.62486606920938</v>
      </c>
      <c r="M460">
        <v>458</v>
      </c>
      <c r="N460">
        <f t="shared" si="33"/>
        <v>0</v>
      </c>
      <c r="O460">
        <f ca="1">SUM($N$2:N460)/M460</f>
        <v>127.85748798806009</v>
      </c>
    </row>
    <row r="461" spans="1:15" x14ac:dyDescent="0.2">
      <c r="A461">
        <v>459</v>
      </c>
      <c r="B461" s="11">
        <f t="shared" si="30"/>
        <v>0</v>
      </c>
      <c r="C461">
        <f ca="1">SUM($B$2:B461)/A461</f>
        <v>125.35117355054008</v>
      </c>
      <c r="E461">
        <v>459</v>
      </c>
      <c r="F461" s="11">
        <f t="shared" si="31"/>
        <v>0</v>
      </c>
      <c r="G461">
        <f ca="1">SUM($F$2:F461)/E461</f>
        <v>127.5789313693497</v>
      </c>
      <c r="I461">
        <v>459</v>
      </c>
      <c r="J461">
        <f t="shared" si="32"/>
        <v>0</v>
      </c>
      <c r="K461">
        <f ca="1">SUM($J$2:J461)/I461</f>
        <v>125.35117355054008</v>
      </c>
      <c r="M461">
        <v>459</v>
      </c>
      <c r="N461">
        <f t="shared" si="33"/>
        <v>0</v>
      </c>
      <c r="O461">
        <f ca="1">SUM($N$2:N461)/M461</f>
        <v>127.5789313693497</v>
      </c>
    </row>
    <row r="462" spans="1:15" x14ac:dyDescent="0.2">
      <c r="A462">
        <v>460</v>
      </c>
      <c r="B462" s="11">
        <f t="shared" si="30"/>
        <v>0</v>
      </c>
      <c r="C462">
        <f ca="1">SUM($B$2:B462)/A462</f>
        <v>125.07867099934325</v>
      </c>
      <c r="E462">
        <v>460</v>
      </c>
      <c r="F462" s="11">
        <f t="shared" si="31"/>
        <v>0</v>
      </c>
      <c r="G462">
        <f ca="1">SUM($F$2:F462)/E462</f>
        <v>127.30158586637286</v>
      </c>
      <c r="I462">
        <v>460</v>
      </c>
      <c r="J462">
        <f t="shared" si="32"/>
        <v>0</v>
      </c>
      <c r="K462">
        <f ca="1">SUM($J$2:J462)/I462</f>
        <v>125.07867099934325</v>
      </c>
      <c r="M462">
        <v>460</v>
      </c>
      <c r="N462">
        <f t="shared" si="33"/>
        <v>0</v>
      </c>
      <c r="O462">
        <f ca="1">SUM($N$2:N462)/M462</f>
        <v>127.30158586637286</v>
      </c>
    </row>
    <row r="463" spans="1:15" x14ac:dyDescent="0.2">
      <c r="A463">
        <v>461</v>
      </c>
      <c r="B463" s="11">
        <f t="shared" si="30"/>
        <v>0</v>
      </c>
      <c r="C463">
        <f ca="1">SUM($B$2:B463)/A463</f>
        <v>124.80735067179587</v>
      </c>
      <c r="E463">
        <v>461</v>
      </c>
      <c r="F463" s="11">
        <f t="shared" si="31"/>
        <v>0</v>
      </c>
      <c r="G463">
        <f ca="1">SUM($F$2:F463)/E463</f>
        <v>127.02544359768225</v>
      </c>
      <c r="I463">
        <v>461</v>
      </c>
      <c r="J463">
        <f t="shared" si="32"/>
        <v>0</v>
      </c>
      <c r="K463">
        <f ca="1">SUM($J$2:J463)/I463</f>
        <v>124.80735067179587</v>
      </c>
      <c r="M463">
        <v>461</v>
      </c>
      <c r="N463">
        <f t="shared" si="33"/>
        <v>0</v>
      </c>
      <c r="O463">
        <f ca="1">SUM($N$2:N463)/M463</f>
        <v>127.02544359768225</v>
      </c>
    </row>
    <row r="464" spans="1:15" x14ac:dyDescent="0.2">
      <c r="A464">
        <v>462</v>
      </c>
      <c r="B464" s="11">
        <f t="shared" si="30"/>
        <v>0</v>
      </c>
      <c r="C464">
        <f ca="1">SUM($B$2:B464)/A464</f>
        <v>124.53720489112098</v>
      </c>
      <c r="E464">
        <v>462</v>
      </c>
      <c r="F464" s="11">
        <f t="shared" si="31"/>
        <v>0</v>
      </c>
      <c r="G464">
        <f ca="1">SUM($F$2:F464)/E464</f>
        <v>126.75049675006822</v>
      </c>
      <c r="I464">
        <v>462</v>
      </c>
      <c r="J464">
        <f t="shared" si="32"/>
        <v>0</v>
      </c>
      <c r="K464">
        <f ca="1">SUM($J$2:J464)/I464</f>
        <v>124.53720489112098</v>
      </c>
      <c r="M464">
        <v>462</v>
      </c>
      <c r="N464">
        <f t="shared" si="33"/>
        <v>0</v>
      </c>
      <c r="O464">
        <f ca="1">SUM($N$2:N464)/M464</f>
        <v>126.75049675006822</v>
      </c>
    </row>
    <row r="465" spans="1:15" x14ac:dyDescent="0.2">
      <c r="A465">
        <v>463</v>
      </c>
      <c r="B465" s="11">
        <f t="shared" si="30"/>
        <v>0</v>
      </c>
      <c r="C465">
        <f ca="1">SUM($B$2:B465)/A465</f>
        <v>124.2682260468637</v>
      </c>
      <c r="E465">
        <v>463</v>
      </c>
      <c r="F465" s="11">
        <f t="shared" si="31"/>
        <v>0</v>
      </c>
      <c r="G465">
        <f ca="1">SUM($F$2:F465)/E465</f>
        <v>126.47673757782185</v>
      </c>
      <c r="I465">
        <v>463</v>
      </c>
      <c r="J465">
        <f t="shared" si="32"/>
        <v>0</v>
      </c>
      <c r="K465">
        <f ca="1">SUM($J$2:J465)/I465</f>
        <v>124.2682260468637</v>
      </c>
      <c r="M465">
        <v>463</v>
      </c>
      <c r="N465">
        <f t="shared" si="33"/>
        <v>0</v>
      </c>
      <c r="O465">
        <f ca="1">SUM($N$2:N465)/M465</f>
        <v>126.47673757782185</v>
      </c>
    </row>
    <row r="466" spans="1:15" x14ac:dyDescent="0.2">
      <c r="A466">
        <v>464</v>
      </c>
      <c r="B466" s="11">
        <f t="shared" si="30"/>
        <v>0</v>
      </c>
      <c r="C466">
        <f ca="1">SUM($B$2:B466)/A466</f>
        <v>124.0004065941765</v>
      </c>
      <c r="E466">
        <v>464</v>
      </c>
      <c r="F466" s="11">
        <f t="shared" si="31"/>
        <v>0</v>
      </c>
      <c r="G466">
        <f ca="1">SUM($F$2:F466)/E466</f>
        <v>126.20415840200758</v>
      </c>
      <c r="I466">
        <v>464</v>
      </c>
      <c r="J466">
        <f t="shared" si="32"/>
        <v>0</v>
      </c>
      <c r="K466">
        <f ca="1">SUM($J$2:J466)/I466</f>
        <v>124.0004065941765</v>
      </c>
      <c r="M466">
        <v>464</v>
      </c>
      <c r="N466">
        <f t="shared" si="33"/>
        <v>0</v>
      </c>
      <c r="O466">
        <f ca="1">SUM($N$2:N466)/M466</f>
        <v>126.20415840200758</v>
      </c>
    </row>
    <row r="467" spans="1:15" x14ac:dyDescent="0.2">
      <c r="A467">
        <v>465</v>
      </c>
      <c r="B467" s="11">
        <f t="shared" si="30"/>
        <v>0</v>
      </c>
      <c r="C467">
        <f ca="1">SUM($B$2:B467)/A467</f>
        <v>123.73373905311375</v>
      </c>
      <c r="E467">
        <v>465</v>
      </c>
      <c r="F467" s="11">
        <f t="shared" si="31"/>
        <v>0</v>
      </c>
      <c r="G467">
        <f ca="1">SUM($F$2:F467)/E467</f>
        <v>125.9327516097452</v>
      </c>
      <c r="I467">
        <v>465</v>
      </c>
      <c r="J467">
        <f t="shared" si="32"/>
        <v>0</v>
      </c>
      <c r="K467">
        <f ca="1">SUM($J$2:J467)/I467</f>
        <v>123.73373905311375</v>
      </c>
      <c r="M467">
        <v>465</v>
      </c>
      <c r="N467">
        <f t="shared" si="33"/>
        <v>0</v>
      </c>
      <c r="O467">
        <f ca="1">SUM($N$2:N467)/M467</f>
        <v>125.9327516097452</v>
      </c>
    </row>
    <row r="468" spans="1:15" x14ac:dyDescent="0.2">
      <c r="A468">
        <v>466</v>
      </c>
      <c r="B468" s="11">
        <f t="shared" si="30"/>
        <v>0</v>
      </c>
      <c r="C468">
        <f ca="1">SUM($B$2:B468)/A468</f>
        <v>123.4682160079354</v>
      </c>
      <c r="E468">
        <v>466</v>
      </c>
      <c r="F468" s="11">
        <f t="shared" si="31"/>
        <v>0</v>
      </c>
      <c r="G468">
        <f ca="1">SUM($F$2:F468)/E468</f>
        <v>125.6625096535011</v>
      </c>
      <c r="I468">
        <v>466</v>
      </c>
      <c r="J468">
        <f t="shared" si="32"/>
        <v>0</v>
      </c>
      <c r="K468">
        <f ca="1">SUM($J$2:J468)/I468</f>
        <v>123.4682160079354</v>
      </c>
      <c r="M468">
        <v>466</v>
      </c>
      <c r="N468">
        <f t="shared" si="33"/>
        <v>0</v>
      </c>
      <c r="O468">
        <f ca="1">SUM($N$2:N468)/M468</f>
        <v>125.6625096535011</v>
      </c>
    </row>
    <row r="469" spans="1:15" x14ac:dyDescent="0.2">
      <c r="A469">
        <v>467</v>
      </c>
      <c r="B469" s="11">
        <f t="shared" si="30"/>
        <v>0</v>
      </c>
      <c r="C469">
        <f ca="1">SUM($B$2:B469)/A469</f>
        <v>123.20383010641947</v>
      </c>
      <c r="E469">
        <v>467</v>
      </c>
      <c r="F469" s="11">
        <f t="shared" si="31"/>
        <v>0</v>
      </c>
      <c r="G469">
        <f ca="1">SUM($F$2:F469)/E469</f>
        <v>125.39342505038869</v>
      </c>
      <c r="I469">
        <v>467</v>
      </c>
      <c r="J469">
        <f t="shared" si="32"/>
        <v>0</v>
      </c>
      <c r="K469">
        <f ca="1">SUM($J$2:J469)/I469</f>
        <v>123.20383010641947</v>
      </c>
      <c r="M469">
        <v>467</v>
      </c>
      <c r="N469">
        <f t="shared" si="33"/>
        <v>0</v>
      </c>
      <c r="O469">
        <f ca="1">SUM($N$2:N469)/M469</f>
        <v>125.39342505038869</v>
      </c>
    </row>
    <row r="470" spans="1:15" x14ac:dyDescent="0.2">
      <c r="A470">
        <v>468</v>
      </c>
      <c r="B470" s="11">
        <f t="shared" si="30"/>
        <v>0</v>
      </c>
      <c r="C470">
        <f ca="1">SUM($B$2:B470)/A470</f>
        <v>122.94057405918353</v>
      </c>
      <c r="E470">
        <v>468</v>
      </c>
      <c r="F470" s="11">
        <f t="shared" si="31"/>
        <v>0</v>
      </c>
      <c r="G470">
        <f ca="1">SUM($F$2:F470)/E470</f>
        <v>125.1254903814776</v>
      </c>
      <c r="I470">
        <v>468</v>
      </c>
      <c r="J470">
        <f t="shared" si="32"/>
        <v>0</v>
      </c>
      <c r="K470">
        <f ca="1">SUM($J$2:J470)/I470</f>
        <v>122.94057405918353</v>
      </c>
      <c r="M470">
        <v>468</v>
      </c>
      <c r="N470">
        <f t="shared" si="33"/>
        <v>0</v>
      </c>
      <c r="O470">
        <f ca="1">SUM($N$2:N470)/M470</f>
        <v>125.1254903814776</v>
      </c>
    </row>
    <row r="471" spans="1:15" x14ac:dyDescent="0.2">
      <c r="A471">
        <v>469</v>
      </c>
      <c r="B471" s="11">
        <f t="shared" si="30"/>
        <v>0</v>
      </c>
      <c r="C471">
        <f ca="1">SUM($B$2:B471)/A471</f>
        <v>122.6784406390147</v>
      </c>
      <c r="E471">
        <v>469</v>
      </c>
      <c r="F471" s="11">
        <f t="shared" si="31"/>
        <v>0</v>
      </c>
      <c r="G471">
        <f ca="1">SUM($F$2:F471)/E471</f>
        <v>124.85869829111198</v>
      </c>
      <c r="I471">
        <v>469</v>
      </c>
      <c r="J471">
        <f t="shared" si="32"/>
        <v>0</v>
      </c>
      <c r="K471">
        <f ca="1">SUM($J$2:J471)/I471</f>
        <v>122.6784406390147</v>
      </c>
      <c r="M471">
        <v>469</v>
      </c>
      <c r="N471">
        <f t="shared" si="33"/>
        <v>0</v>
      </c>
      <c r="O471">
        <f ca="1">SUM($N$2:N471)/M471</f>
        <v>124.85869829111198</v>
      </c>
    </row>
    <row r="472" spans="1:15" x14ac:dyDescent="0.2">
      <c r="A472">
        <v>470</v>
      </c>
      <c r="B472" s="11">
        <f t="shared" si="30"/>
        <v>0</v>
      </c>
      <c r="C472">
        <f ca="1">SUM($B$2:B472)/A472</f>
        <v>122.41742268020829</v>
      </c>
      <c r="E472">
        <v>470</v>
      </c>
      <c r="F472" s="11">
        <f t="shared" si="31"/>
        <v>0</v>
      </c>
      <c r="G472">
        <f ca="1">SUM($F$2:F472)/E472</f>
        <v>124.59304148623727</v>
      </c>
      <c r="I472">
        <v>470</v>
      </c>
      <c r="J472">
        <f t="shared" si="32"/>
        <v>0</v>
      </c>
      <c r="K472">
        <f ca="1">SUM($J$2:J472)/I472</f>
        <v>122.41742268020829</v>
      </c>
      <c r="M472">
        <v>470</v>
      </c>
      <c r="N472">
        <f t="shared" si="33"/>
        <v>0</v>
      </c>
      <c r="O472">
        <f ca="1">SUM($N$2:N472)/M472</f>
        <v>124.59304148623727</v>
      </c>
    </row>
    <row r="473" spans="1:15" x14ac:dyDescent="0.2">
      <c r="A473">
        <v>471</v>
      </c>
      <c r="B473" s="11">
        <f t="shared" si="30"/>
        <v>0</v>
      </c>
      <c r="C473">
        <f ca="1">SUM($B$2:B473)/A473</f>
        <v>122.15751307791486</v>
      </c>
      <c r="E473">
        <v>471</v>
      </c>
      <c r="F473" s="11">
        <f t="shared" si="31"/>
        <v>0</v>
      </c>
      <c r="G473">
        <f ca="1">SUM($F$2:F473)/E473</f>
        <v>124.3285127357357</v>
      </c>
      <c r="I473">
        <v>471</v>
      </c>
      <c r="J473">
        <f t="shared" si="32"/>
        <v>0</v>
      </c>
      <c r="K473">
        <f ca="1">SUM($J$2:J473)/I473</f>
        <v>122.15751307791486</v>
      </c>
      <c r="M473">
        <v>471</v>
      </c>
      <c r="N473">
        <f t="shared" si="33"/>
        <v>0</v>
      </c>
      <c r="O473">
        <f ca="1">SUM($N$2:N473)/M473</f>
        <v>124.3285127357357</v>
      </c>
    </row>
    <row r="474" spans="1:15" x14ac:dyDescent="0.2">
      <c r="A474">
        <v>472</v>
      </c>
      <c r="B474" s="11">
        <f t="shared" si="30"/>
        <v>0</v>
      </c>
      <c r="C474">
        <f ca="1">SUM($B$2:B474)/A474</f>
        <v>121.89870478749555</v>
      </c>
      <c r="E474">
        <v>472</v>
      </c>
      <c r="F474" s="11">
        <f t="shared" si="31"/>
        <v>0</v>
      </c>
      <c r="G474">
        <f ca="1">SUM($F$2:F474)/E474</f>
        <v>124.06510486977017</v>
      </c>
      <c r="I474">
        <v>472</v>
      </c>
      <c r="J474">
        <f t="shared" si="32"/>
        <v>0</v>
      </c>
      <c r="K474">
        <f ca="1">SUM($J$2:J474)/I474</f>
        <v>121.89870478749555</v>
      </c>
      <c r="M474">
        <v>472</v>
      </c>
      <c r="N474">
        <f t="shared" si="33"/>
        <v>0</v>
      </c>
      <c r="O474">
        <f ca="1">SUM($N$2:N474)/M474</f>
        <v>124.06510486977017</v>
      </c>
    </row>
    <row r="475" spans="1:15" x14ac:dyDescent="0.2">
      <c r="A475">
        <v>473</v>
      </c>
      <c r="B475" s="11">
        <f t="shared" si="30"/>
        <v>0</v>
      </c>
      <c r="C475">
        <f ca="1">SUM($B$2:B475)/A475</f>
        <v>121.64099082388562</v>
      </c>
      <c r="E475">
        <v>473</v>
      </c>
      <c r="F475" s="11">
        <f t="shared" si="31"/>
        <v>0</v>
      </c>
      <c r="G475">
        <f ca="1">SUM($F$2:F475)/E475</f>
        <v>123.80281077913639</v>
      </c>
      <c r="I475">
        <v>473</v>
      </c>
      <c r="J475">
        <f t="shared" si="32"/>
        <v>0</v>
      </c>
      <c r="K475">
        <f ca="1">SUM($J$2:J475)/I475</f>
        <v>121.64099082388562</v>
      </c>
      <c r="M475">
        <v>473</v>
      </c>
      <c r="N475">
        <f t="shared" si="33"/>
        <v>0</v>
      </c>
      <c r="O475">
        <f ca="1">SUM($N$2:N475)/M475</f>
        <v>123.80281077913639</v>
      </c>
    </row>
    <row r="476" spans="1:15" x14ac:dyDescent="0.2">
      <c r="A476">
        <v>474</v>
      </c>
      <c r="B476" s="11">
        <f t="shared" si="30"/>
        <v>0</v>
      </c>
      <c r="C476">
        <f ca="1">SUM($B$2:B476)/A476</f>
        <v>121.38436426096602</v>
      </c>
      <c r="E476">
        <v>474</v>
      </c>
      <c r="F476" s="11">
        <f t="shared" si="31"/>
        <v>0</v>
      </c>
      <c r="G476">
        <f ca="1">SUM($F$2:F476)/E476</f>
        <v>123.54162341462346</v>
      </c>
      <c r="I476">
        <v>474</v>
      </c>
      <c r="J476">
        <f t="shared" si="32"/>
        <v>0</v>
      </c>
      <c r="K476">
        <f ca="1">SUM($J$2:J476)/I476</f>
        <v>121.38436426096602</v>
      </c>
      <c r="M476">
        <v>474</v>
      </c>
      <c r="N476">
        <f t="shared" si="33"/>
        <v>0</v>
      </c>
      <c r="O476">
        <f ca="1">SUM($N$2:N476)/M476</f>
        <v>123.54162341462346</v>
      </c>
    </row>
    <row r="477" spans="1:15" x14ac:dyDescent="0.2">
      <c r="A477">
        <v>475</v>
      </c>
      <c r="B477" s="11">
        <f t="shared" si="30"/>
        <v>0</v>
      </c>
      <c r="C477">
        <f ca="1">SUM($B$2:B477)/A477</f>
        <v>121.12881823094294</v>
      </c>
      <c r="E477">
        <v>475</v>
      </c>
      <c r="F477" s="11">
        <f t="shared" si="31"/>
        <v>0</v>
      </c>
      <c r="G477">
        <f ca="1">SUM($F$2:F477)/E477</f>
        <v>123.28153578638214</v>
      </c>
      <c r="I477">
        <v>475</v>
      </c>
      <c r="J477">
        <f t="shared" si="32"/>
        <v>0</v>
      </c>
      <c r="K477">
        <f ca="1">SUM($J$2:J477)/I477</f>
        <v>121.12881823094294</v>
      </c>
      <c r="M477">
        <v>475</v>
      </c>
      <c r="N477">
        <f t="shared" si="33"/>
        <v>0</v>
      </c>
      <c r="O477">
        <f ca="1">SUM($N$2:N477)/M477</f>
        <v>123.28153578638214</v>
      </c>
    </row>
    <row r="478" spans="1:15" x14ac:dyDescent="0.2">
      <c r="A478">
        <v>476</v>
      </c>
      <c r="B478" s="11">
        <f t="shared" si="30"/>
        <v>0</v>
      </c>
      <c r="C478">
        <f ca="1">SUM($B$2:B478)/A478</f>
        <v>120.87434592373508</v>
      </c>
      <c r="E478">
        <v>476</v>
      </c>
      <c r="F478" s="11">
        <f t="shared" si="31"/>
        <v>0</v>
      </c>
      <c r="G478">
        <f ca="1">SUM($F$2:F478)/E478</f>
        <v>123.02254096330151</v>
      </c>
      <c r="I478">
        <v>476</v>
      </c>
      <c r="J478">
        <f t="shared" si="32"/>
        <v>0</v>
      </c>
      <c r="K478">
        <f ca="1">SUM($J$2:J478)/I478</f>
        <v>120.87434592373508</v>
      </c>
      <c r="M478">
        <v>476</v>
      </c>
      <c r="N478">
        <f t="shared" si="33"/>
        <v>0</v>
      </c>
      <c r="O478">
        <f ca="1">SUM($N$2:N478)/M478</f>
        <v>123.02254096330151</v>
      </c>
    </row>
    <row r="479" spans="1:15" x14ac:dyDescent="0.2">
      <c r="A479">
        <v>477</v>
      </c>
      <c r="B479" s="11">
        <f t="shared" si="30"/>
        <v>0</v>
      </c>
      <c r="C479">
        <f ca="1">SUM($B$2:B479)/A479</f>
        <v>120.62094058636875</v>
      </c>
      <c r="E479">
        <v>477</v>
      </c>
      <c r="F479" s="11">
        <f t="shared" si="31"/>
        <v>0</v>
      </c>
      <c r="G479">
        <f ca="1">SUM($F$2:F479)/E479</f>
        <v>122.76463207239311</v>
      </c>
      <c r="I479">
        <v>477</v>
      </c>
      <c r="J479">
        <f t="shared" si="32"/>
        <v>0</v>
      </c>
      <c r="K479">
        <f ca="1">SUM($J$2:J479)/I479</f>
        <v>120.62094058636875</v>
      </c>
      <c r="M479">
        <v>477</v>
      </c>
      <c r="N479">
        <f t="shared" si="33"/>
        <v>0</v>
      </c>
      <c r="O479">
        <f ca="1">SUM($N$2:N479)/M479</f>
        <v>122.76463207239311</v>
      </c>
    </row>
    <row r="480" spans="1:15" x14ac:dyDescent="0.2">
      <c r="A480">
        <v>478</v>
      </c>
      <c r="B480" s="11">
        <f t="shared" si="30"/>
        <v>0</v>
      </c>
      <c r="C480">
        <f ca="1">SUM($B$2:B480)/A480</f>
        <v>120.36859552238053</v>
      </c>
      <c r="E480">
        <v>478</v>
      </c>
      <c r="F480" s="11">
        <f t="shared" si="31"/>
        <v>0</v>
      </c>
      <c r="G480">
        <f ca="1">SUM($F$2:F480)/E480</f>
        <v>122.50780229818309</v>
      </c>
      <c r="I480">
        <v>478</v>
      </c>
      <c r="J480">
        <f t="shared" si="32"/>
        <v>0</v>
      </c>
      <c r="K480">
        <f ca="1">SUM($J$2:J480)/I480</f>
        <v>120.36859552238053</v>
      </c>
      <c r="M480">
        <v>478</v>
      </c>
      <c r="N480">
        <f t="shared" si="33"/>
        <v>0</v>
      </c>
      <c r="O480">
        <f ca="1">SUM($N$2:N480)/M480</f>
        <v>122.50780229818309</v>
      </c>
    </row>
    <row r="481" spans="1:15" x14ac:dyDescent="0.2">
      <c r="A481">
        <v>479</v>
      </c>
      <c r="B481" s="11">
        <f t="shared" si="30"/>
        <v>0</v>
      </c>
      <c r="C481">
        <f ca="1">SUM($B$2:B481)/A481</f>
        <v>120.11730409122734</v>
      </c>
      <c r="E481">
        <v>479</v>
      </c>
      <c r="F481" s="11">
        <f t="shared" si="31"/>
        <v>0</v>
      </c>
      <c r="G481">
        <f ca="1">SUM($F$2:F481)/E481</f>
        <v>122.25204488211173</v>
      </c>
      <c r="I481">
        <v>479</v>
      </c>
      <c r="J481">
        <f t="shared" si="32"/>
        <v>0</v>
      </c>
      <c r="K481">
        <f ca="1">SUM($J$2:J481)/I481</f>
        <v>120.11730409122734</v>
      </c>
      <c r="M481">
        <v>479</v>
      </c>
      <c r="N481">
        <f t="shared" si="33"/>
        <v>0</v>
      </c>
      <c r="O481">
        <f ca="1">SUM($N$2:N481)/M481</f>
        <v>122.25204488211173</v>
      </c>
    </row>
    <row r="482" spans="1:15" x14ac:dyDescent="0.2">
      <c r="A482">
        <v>480</v>
      </c>
      <c r="B482" s="11">
        <f t="shared" si="30"/>
        <v>0</v>
      </c>
      <c r="C482">
        <f ca="1">SUM($B$2:B482)/A482</f>
        <v>119.86705970770394</v>
      </c>
      <c r="E482">
        <v>480</v>
      </c>
      <c r="F482" s="11">
        <f t="shared" si="31"/>
        <v>0</v>
      </c>
      <c r="G482">
        <f ca="1">SUM($F$2:F482)/E482</f>
        <v>121.99735312194066</v>
      </c>
      <c r="I482">
        <v>480</v>
      </c>
      <c r="J482">
        <f t="shared" si="32"/>
        <v>0</v>
      </c>
      <c r="K482">
        <f ca="1">SUM($J$2:J482)/I482</f>
        <v>119.86705970770394</v>
      </c>
      <c r="M482">
        <v>480</v>
      </c>
      <c r="N482">
        <f t="shared" si="33"/>
        <v>0</v>
      </c>
      <c r="O482">
        <f ca="1">SUM($N$2:N482)/M482</f>
        <v>121.99735312194066</v>
      </c>
    </row>
    <row r="483" spans="1:15" x14ac:dyDescent="0.2">
      <c r="A483">
        <v>481</v>
      </c>
      <c r="B483" s="11">
        <f t="shared" si="30"/>
        <v>0</v>
      </c>
      <c r="C483">
        <f ca="1">SUM($B$2:B483)/A483</f>
        <v>119.61785584136777</v>
      </c>
      <c r="E483">
        <v>481</v>
      </c>
      <c r="F483" s="11">
        <f t="shared" si="31"/>
        <v>0</v>
      </c>
      <c r="G483">
        <f ca="1">SUM($F$2:F483)/E483</f>
        <v>121.7437203711674</v>
      </c>
      <c r="I483">
        <v>481</v>
      </c>
      <c r="J483">
        <f t="shared" si="32"/>
        <v>0</v>
      </c>
      <c r="K483">
        <f ca="1">SUM($J$2:J483)/I483</f>
        <v>119.61785584136777</v>
      </c>
      <c r="M483">
        <v>481</v>
      </c>
      <c r="N483">
        <f t="shared" si="33"/>
        <v>0</v>
      </c>
      <c r="O483">
        <f ca="1">SUM($N$2:N483)/M483</f>
        <v>121.7437203711674</v>
      </c>
    </row>
    <row r="484" spans="1:15" x14ac:dyDescent="0.2">
      <c r="A484">
        <v>482</v>
      </c>
      <c r="B484" s="11">
        <f t="shared" si="30"/>
        <v>0</v>
      </c>
      <c r="C484">
        <f ca="1">SUM($B$2:B484)/A484</f>
        <v>119.36968601597074</v>
      </c>
      <c r="E484">
        <v>482</v>
      </c>
      <c r="F484" s="11">
        <f t="shared" si="31"/>
        <v>0</v>
      </c>
      <c r="G484">
        <f ca="1">SUM($F$2:F484)/E484</f>
        <v>121.49114003844713</v>
      </c>
      <c r="I484">
        <v>482</v>
      </c>
      <c r="J484">
        <f t="shared" si="32"/>
        <v>0</v>
      </c>
      <c r="K484">
        <f ca="1">SUM($J$2:J484)/I484</f>
        <v>119.36968601597074</v>
      </c>
      <c r="M484">
        <v>482</v>
      </c>
      <c r="N484">
        <f t="shared" si="33"/>
        <v>0</v>
      </c>
      <c r="O484">
        <f ca="1">SUM($N$2:N484)/M484</f>
        <v>121.49114003844713</v>
      </c>
    </row>
    <row r="485" spans="1:15" x14ac:dyDescent="0.2">
      <c r="A485">
        <v>483</v>
      </c>
      <c r="B485" s="11">
        <f t="shared" si="30"/>
        <v>0</v>
      </c>
      <c r="C485">
        <f ca="1">SUM($B$2:B485)/A485</f>
        <v>119.12254380889833</v>
      </c>
      <c r="E485">
        <v>483</v>
      </c>
      <c r="F485" s="11">
        <f t="shared" si="31"/>
        <v>0</v>
      </c>
      <c r="G485">
        <f ca="1">SUM($F$2:F485)/E485</f>
        <v>121.23960558702177</v>
      </c>
      <c r="I485">
        <v>483</v>
      </c>
      <c r="J485">
        <f t="shared" si="32"/>
        <v>0</v>
      </c>
      <c r="K485">
        <f ca="1">SUM($J$2:J485)/I485</f>
        <v>119.12254380889833</v>
      </c>
      <c r="M485">
        <v>483</v>
      </c>
      <c r="N485">
        <f t="shared" si="33"/>
        <v>0</v>
      </c>
      <c r="O485">
        <f ca="1">SUM($N$2:N485)/M485</f>
        <v>121.23960558702177</v>
      </c>
    </row>
    <row r="486" spans="1:15" x14ac:dyDescent="0.2">
      <c r="A486">
        <v>484</v>
      </c>
      <c r="B486" s="11">
        <f t="shared" si="30"/>
        <v>0</v>
      </c>
      <c r="C486">
        <f ca="1">SUM($B$2:B486)/A486</f>
        <v>118.87642285061548</v>
      </c>
      <c r="E486">
        <v>484</v>
      </c>
      <c r="F486" s="11">
        <f t="shared" si="31"/>
        <v>0</v>
      </c>
      <c r="G486">
        <f ca="1">SUM($F$2:F486)/E486</f>
        <v>120.98911053415603</v>
      </c>
      <c r="I486">
        <v>484</v>
      </c>
      <c r="J486">
        <f t="shared" si="32"/>
        <v>0</v>
      </c>
      <c r="K486">
        <f ca="1">SUM($J$2:J486)/I486</f>
        <v>118.87642285061548</v>
      </c>
      <c r="M486">
        <v>484</v>
      </c>
      <c r="N486">
        <f t="shared" si="33"/>
        <v>0</v>
      </c>
      <c r="O486">
        <f ca="1">SUM($N$2:N486)/M486</f>
        <v>120.98911053415603</v>
      </c>
    </row>
    <row r="487" spans="1:15" x14ac:dyDescent="0.2">
      <c r="A487">
        <v>485</v>
      </c>
      <c r="B487" s="11">
        <f t="shared" si="30"/>
        <v>0</v>
      </c>
      <c r="C487">
        <f ca="1">SUM($B$2:B487)/A487</f>
        <v>118.63131682411937</v>
      </c>
      <c r="E487">
        <v>485</v>
      </c>
      <c r="F487" s="11">
        <f t="shared" si="31"/>
        <v>0</v>
      </c>
      <c r="G487">
        <f ca="1">SUM($F$2:F487)/E487</f>
        <v>120.73964845058045</v>
      </c>
      <c r="I487">
        <v>485</v>
      </c>
      <c r="J487">
        <f t="shared" si="32"/>
        <v>0</v>
      </c>
      <c r="K487">
        <f ca="1">SUM($J$2:J487)/I487</f>
        <v>118.63131682411937</v>
      </c>
      <c r="M487">
        <v>485</v>
      </c>
      <c r="N487">
        <f t="shared" si="33"/>
        <v>0</v>
      </c>
      <c r="O487">
        <f ca="1">SUM($N$2:N487)/M487</f>
        <v>120.73964845058045</v>
      </c>
    </row>
    <row r="488" spans="1:15" x14ac:dyDescent="0.2">
      <c r="A488">
        <v>486</v>
      </c>
      <c r="B488" s="11">
        <f t="shared" si="30"/>
        <v>0</v>
      </c>
      <c r="C488">
        <f ca="1">SUM($B$2:B488)/A488</f>
        <v>118.38721946439897</v>
      </c>
      <c r="E488">
        <v>486</v>
      </c>
      <c r="F488" s="11">
        <f t="shared" si="31"/>
        <v>0</v>
      </c>
      <c r="G488">
        <f ca="1">SUM($F$2:F488)/E488</f>
        <v>120.49121295994139</v>
      </c>
      <c r="I488">
        <v>486</v>
      </c>
      <c r="J488">
        <f t="shared" si="32"/>
        <v>0</v>
      </c>
      <c r="K488">
        <f ca="1">SUM($J$2:J488)/I488</f>
        <v>118.38721946439897</v>
      </c>
      <c r="M488">
        <v>486</v>
      </c>
      <c r="N488">
        <f t="shared" si="33"/>
        <v>0</v>
      </c>
      <c r="O488">
        <f ca="1">SUM($N$2:N488)/M488</f>
        <v>120.49121295994139</v>
      </c>
    </row>
    <row r="489" spans="1:15" x14ac:dyDescent="0.2">
      <c r="A489">
        <v>487</v>
      </c>
      <c r="B489" s="11">
        <f t="shared" si="30"/>
        <v>0</v>
      </c>
      <c r="C489">
        <f ca="1">SUM($B$2:B489)/A489</f>
        <v>118.14412455790122</v>
      </c>
      <c r="E489">
        <v>487</v>
      </c>
      <c r="F489" s="11">
        <f t="shared" si="31"/>
        <v>0</v>
      </c>
      <c r="G489">
        <f ca="1">SUM($F$2:F489)/E489</f>
        <v>120.24379773825774</v>
      </c>
      <c r="I489">
        <v>487</v>
      </c>
      <c r="J489">
        <f t="shared" si="32"/>
        <v>0</v>
      </c>
      <c r="K489">
        <f ca="1">SUM($J$2:J489)/I489</f>
        <v>118.14412455790122</v>
      </c>
      <c r="M489">
        <v>487</v>
      </c>
      <c r="N489">
        <f t="shared" si="33"/>
        <v>0</v>
      </c>
      <c r="O489">
        <f ca="1">SUM($N$2:N489)/M489</f>
        <v>120.24379773825774</v>
      </c>
    </row>
    <row r="490" spans="1:15" x14ac:dyDescent="0.2">
      <c r="A490">
        <v>488</v>
      </c>
      <c r="B490" s="11">
        <f t="shared" si="30"/>
        <v>0</v>
      </c>
      <c r="C490">
        <f ca="1">SUM($B$2:B490)/A490</f>
        <v>117.90202594200389</v>
      </c>
      <c r="E490">
        <v>488</v>
      </c>
      <c r="F490" s="11">
        <f t="shared" si="31"/>
        <v>0</v>
      </c>
      <c r="G490">
        <f ca="1">SUM($F$2:F490)/E490</f>
        <v>119.99739651338426</v>
      </c>
      <c r="I490">
        <v>488</v>
      </c>
      <c r="J490">
        <f t="shared" si="32"/>
        <v>0</v>
      </c>
      <c r="K490">
        <f ca="1">SUM($J$2:J490)/I490</f>
        <v>117.90202594200389</v>
      </c>
      <c r="M490">
        <v>488</v>
      </c>
      <c r="N490">
        <f t="shared" si="33"/>
        <v>0</v>
      </c>
      <c r="O490">
        <f ca="1">SUM($N$2:N490)/M490</f>
        <v>119.99739651338426</v>
      </c>
    </row>
    <row r="491" spans="1:15" x14ac:dyDescent="0.2">
      <c r="A491">
        <v>489</v>
      </c>
      <c r="B491" s="11">
        <f t="shared" si="30"/>
        <v>0</v>
      </c>
      <c r="C491">
        <f ca="1">SUM($B$2:B491)/A491</f>
        <v>117.66091750449468</v>
      </c>
      <c r="E491">
        <v>489</v>
      </c>
      <c r="F491" s="11">
        <f t="shared" si="31"/>
        <v>0</v>
      </c>
      <c r="G491">
        <f ca="1">SUM($F$2:F491)/E491</f>
        <v>119.75200306448163</v>
      </c>
      <c r="I491">
        <v>489</v>
      </c>
      <c r="J491">
        <f t="shared" si="32"/>
        <v>0</v>
      </c>
      <c r="K491">
        <f ca="1">SUM($J$2:J491)/I491</f>
        <v>117.66091750449468</v>
      </c>
      <c r="M491">
        <v>489</v>
      </c>
      <c r="N491">
        <f t="shared" si="33"/>
        <v>0</v>
      </c>
      <c r="O491">
        <f ca="1">SUM($N$2:N491)/M491</f>
        <v>119.75200306448163</v>
      </c>
    </row>
    <row r="492" spans="1:15" x14ac:dyDescent="0.2">
      <c r="A492">
        <v>490</v>
      </c>
      <c r="B492" s="11">
        <f t="shared" si="30"/>
        <v>0</v>
      </c>
      <c r="C492">
        <f ca="1">SUM($B$2:B492)/A492</f>
        <v>117.42079318305693</v>
      </c>
      <c r="E492">
        <v>490</v>
      </c>
      <c r="F492" s="11">
        <f t="shared" si="31"/>
        <v>0</v>
      </c>
      <c r="G492">
        <f ca="1">SUM($F$2:F492)/E492</f>
        <v>119.50761122149289</v>
      </c>
      <c r="I492">
        <v>490</v>
      </c>
      <c r="J492">
        <f t="shared" si="32"/>
        <v>0</v>
      </c>
      <c r="K492">
        <f ca="1">SUM($J$2:J492)/I492</f>
        <v>117.42079318305693</v>
      </c>
      <c r="M492">
        <v>490</v>
      </c>
      <c r="N492">
        <f t="shared" si="33"/>
        <v>0</v>
      </c>
      <c r="O492">
        <f ca="1">SUM($N$2:N492)/M492</f>
        <v>119.50761122149289</v>
      </c>
    </row>
    <row r="493" spans="1:15" x14ac:dyDescent="0.2">
      <c r="A493">
        <v>491</v>
      </c>
      <c r="B493" s="11">
        <f t="shared" si="30"/>
        <v>0</v>
      </c>
      <c r="C493">
        <f ca="1">SUM($B$2:B493)/A493</f>
        <v>117.1816469647615</v>
      </c>
      <c r="E493">
        <v>491</v>
      </c>
      <c r="F493" s="11">
        <f t="shared" si="31"/>
        <v>0</v>
      </c>
      <c r="G493">
        <f ca="1">SUM($F$2:F493)/E493</f>
        <v>119.26421486462631</v>
      </c>
      <c r="I493">
        <v>491</v>
      </c>
      <c r="J493">
        <f t="shared" si="32"/>
        <v>0</v>
      </c>
      <c r="K493">
        <f ca="1">SUM($J$2:J493)/I493</f>
        <v>117.1816469647615</v>
      </c>
      <c r="M493">
        <v>491</v>
      </c>
      <c r="N493">
        <f t="shared" si="33"/>
        <v>0</v>
      </c>
      <c r="O493">
        <f ca="1">SUM($N$2:N493)/M493</f>
        <v>119.26421486462631</v>
      </c>
    </row>
    <row r="494" spans="1:15" x14ac:dyDescent="0.2">
      <c r="A494">
        <v>492</v>
      </c>
      <c r="B494" s="11">
        <f t="shared" si="30"/>
        <v>0</v>
      </c>
      <c r="C494">
        <f ca="1">SUM($B$2:B494)/A494</f>
        <v>116.94347288556483</v>
      </c>
      <c r="E494">
        <v>492</v>
      </c>
      <c r="F494" s="11">
        <f t="shared" si="31"/>
        <v>0</v>
      </c>
      <c r="G494">
        <f ca="1">SUM($F$2:F494)/E494</f>
        <v>119.02180792384455</v>
      </c>
      <c r="I494">
        <v>492</v>
      </c>
      <c r="J494">
        <f t="shared" si="32"/>
        <v>0</v>
      </c>
      <c r="K494">
        <f ca="1">SUM($J$2:J494)/I494</f>
        <v>116.94347288556483</v>
      </c>
      <c r="M494">
        <v>492</v>
      </c>
      <c r="N494">
        <f t="shared" si="33"/>
        <v>0</v>
      </c>
      <c r="O494">
        <f ca="1">SUM($N$2:N494)/M494</f>
        <v>119.02180792384455</v>
      </c>
    </row>
    <row r="495" spans="1:15" x14ac:dyDescent="0.2">
      <c r="A495">
        <v>493</v>
      </c>
      <c r="B495" s="11">
        <f t="shared" si="30"/>
        <v>0</v>
      </c>
      <c r="C495">
        <f ca="1">SUM($B$2:B495)/A495</f>
        <v>116.70626502981317</v>
      </c>
      <c r="E495">
        <v>493</v>
      </c>
      <c r="F495" s="11">
        <f t="shared" si="31"/>
        <v>0</v>
      </c>
      <c r="G495">
        <f ca="1">SUM($F$2:F495)/E495</f>
        <v>118.78038437836007</v>
      </c>
      <c r="I495">
        <v>493</v>
      </c>
      <c r="J495">
        <f t="shared" si="32"/>
        <v>0</v>
      </c>
      <c r="K495">
        <f ca="1">SUM($J$2:J495)/I495</f>
        <v>116.70626502981317</v>
      </c>
      <c r="M495">
        <v>493</v>
      </c>
      <c r="N495">
        <f t="shared" si="33"/>
        <v>0</v>
      </c>
      <c r="O495">
        <f ca="1">SUM($N$2:N495)/M495</f>
        <v>118.78038437836007</v>
      </c>
    </row>
    <row r="496" spans="1:15" x14ac:dyDescent="0.2">
      <c r="A496">
        <v>494</v>
      </c>
      <c r="B496" s="11">
        <f t="shared" si="30"/>
        <v>0</v>
      </c>
      <c r="C496">
        <f ca="1">SUM($B$2:B496)/A496</f>
        <v>116.47001752975282</v>
      </c>
      <c r="E496">
        <v>494</v>
      </c>
      <c r="F496" s="11">
        <f t="shared" si="31"/>
        <v>0</v>
      </c>
      <c r="G496">
        <f ca="1">SUM($F$2:F496)/E496</f>
        <v>118.53993825613668</v>
      </c>
      <c r="I496">
        <v>494</v>
      </c>
      <c r="J496">
        <f t="shared" si="32"/>
        <v>0</v>
      </c>
      <c r="K496">
        <f ca="1">SUM($J$2:J496)/I496</f>
        <v>116.47001752975282</v>
      </c>
      <c r="M496">
        <v>494</v>
      </c>
      <c r="N496">
        <f t="shared" si="33"/>
        <v>0</v>
      </c>
      <c r="O496">
        <f ca="1">SUM($N$2:N496)/M496</f>
        <v>118.53993825613668</v>
      </c>
    </row>
    <row r="497" spans="1:15" x14ac:dyDescent="0.2">
      <c r="A497">
        <v>495</v>
      </c>
      <c r="B497" s="11">
        <f t="shared" si="30"/>
        <v>0</v>
      </c>
      <c r="C497">
        <f ca="1">SUM($B$2:B497)/A497</f>
        <v>116.23472456504625</v>
      </c>
      <c r="E497">
        <v>495</v>
      </c>
      <c r="F497" s="11">
        <f t="shared" si="31"/>
        <v>0</v>
      </c>
      <c r="G497">
        <f ca="1">SUM($F$2:F497)/E497</f>
        <v>118.300463633397</v>
      </c>
      <c r="I497">
        <v>495</v>
      </c>
      <c r="J497">
        <f t="shared" si="32"/>
        <v>0</v>
      </c>
      <c r="K497">
        <f ca="1">SUM($J$2:J497)/I497</f>
        <v>116.23472456504625</v>
      </c>
      <c r="M497">
        <v>495</v>
      </c>
      <c r="N497">
        <f t="shared" si="33"/>
        <v>0</v>
      </c>
      <c r="O497">
        <f ca="1">SUM($N$2:N497)/M497</f>
        <v>118.300463633397</v>
      </c>
    </row>
    <row r="498" spans="1:15" x14ac:dyDescent="0.2">
      <c r="A498">
        <v>496</v>
      </c>
      <c r="B498" s="11">
        <f t="shared" si="30"/>
        <v>0</v>
      </c>
      <c r="C498">
        <f ca="1">SUM($B$2:B498)/A498</f>
        <v>116.00038036229414</v>
      </c>
      <c r="E498">
        <v>496</v>
      </c>
      <c r="F498" s="11">
        <f t="shared" si="31"/>
        <v>0</v>
      </c>
      <c r="G498">
        <f ca="1">SUM($F$2:F498)/E498</f>
        <v>118.06195463413613</v>
      </c>
      <c r="I498">
        <v>496</v>
      </c>
      <c r="J498">
        <f t="shared" si="32"/>
        <v>0</v>
      </c>
      <c r="K498">
        <f ca="1">SUM($J$2:J498)/I498</f>
        <v>116.00038036229414</v>
      </c>
      <c r="M498">
        <v>496</v>
      </c>
      <c r="N498">
        <f t="shared" si="33"/>
        <v>0</v>
      </c>
      <c r="O498">
        <f ca="1">SUM($N$2:N498)/M498</f>
        <v>118.06195463413613</v>
      </c>
    </row>
    <row r="499" spans="1:15" x14ac:dyDescent="0.2">
      <c r="A499">
        <v>497</v>
      </c>
      <c r="B499" s="11">
        <f t="shared" si="30"/>
        <v>0</v>
      </c>
      <c r="C499">
        <f ca="1">SUM($B$2:B499)/A499</f>
        <v>115.76697919456316</v>
      </c>
      <c r="E499">
        <v>497</v>
      </c>
      <c r="F499" s="11">
        <f t="shared" si="31"/>
        <v>0</v>
      </c>
      <c r="G499">
        <f ca="1">SUM($F$2:F499)/E499</f>
        <v>117.82440542964088</v>
      </c>
      <c r="I499">
        <v>497</v>
      </c>
      <c r="J499">
        <f t="shared" si="32"/>
        <v>0</v>
      </c>
      <c r="K499">
        <f ca="1">SUM($J$2:J499)/I499</f>
        <v>115.76697919456316</v>
      </c>
      <c r="M499">
        <v>497</v>
      </c>
      <c r="N499">
        <f t="shared" si="33"/>
        <v>0</v>
      </c>
      <c r="O499">
        <f ca="1">SUM($N$2:N499)/M499</f>
        <v>117.82440542964088</v>
      </c>
    </row>
    <row r="500" spans="1:15" x14ac:dyDescent="0.2">
      <c r="A500">
        <v>498</v>
      </c>
      <c r="B500" s="11">
        <f t="shared" si="30"/>
        <v>0</v>
      </c>
      <c r="C500">
        <f ca="1">SUM($B$2:B500)/A500</f>
        <v>115.53451538091947</v>
      </c>
      <c r="E500">
        <v>498</v>
      </c>
      <c r="F500" s="11">
        <f t="shared" si="31"/>
        <v>0</v>
      </c>
      <c r="G500">
        <f ca="1">SUM($F$2:F500)/E500</f>
        <v>117.58781023801509</v>
      </c>
      <c r="I500">
        <v>498</v>
      </c>
      <c r="J500">
        <f t="shared" si="32"/>
        <v>0</v>
      </c>
      <c r="K500">
        <f ca="1">SUM($J$2:J500)/I500</f>
        <v>115.53451538091947</v>
      </c>
      <c r="M500">
        <v>498</v>
      </c>
      <c r="N500">
        <f t="shared" si="33"/>
        <v>0</v>
      </c>
      <c r="O500">
        <f ca="1">SUM($N$2:N500)/M500</f>
        <v>117.58781023801509</v>
      </c>
    </row>
    <row r="501" spans="1:15" x14ac:dyDescent="0.2">
      <c r="A501">
        <v>499</v>
      </c>
      <c r="B501" s="11">
        <f t="shared" si="30"/>
        <v>0</v>
      </c>
      <c r="C501">
        <f ca="1">SUM($B$2:B501)/A501</f>
        <v>115.30298328596773</v>
      </c>
      <c r="E501">
        <v>499</v>
      </c>
      <c r="F501" s="11">
        <f t="shared" si="31"/>
        <v>0</v>
      </c>
      <c r="G501">
        <f ca="1">SUM($F$2:F501)/E501</f>
        <v>117.35216332371046</v>
      </c>
      <c r="I501">
        <v>499</v>
      </c>
      <c r="J501">
        <f t="shared" si="32"/>
        <v>0</v>
      </c>
      <c r="K501">
        <f ca="1">SUM($J$2:J501)/I501</f>
        <v>115.30298328596773</v>
      </c>
      <c r="M501">
        <v>499</v>
      </c>
      <c r="N501">
        <f t="shared" si="33"/>
        <v>0</v>
      </c>
      <c r="O501">
        <f ca="1">SUM($N$2:N501)/M501</f>
        <v>117.35216332371046</v>
      </c>
    </row>
    <row r="502" spans="1:15" x14ac:dyDescent="0.2">
      <c r="A502">
        <v>500</v>
      </c>
      <c r="B502" s="11">
        <f t="shared" si="30"/>
        <v>0</v>
      </c>
      <c r="C502">
        <f ca="1">SUM($B$2:B502)/A502</f>
        <v>115.07237731939578</v>
      </c>
      <c r="E502">
        <v>500</v>
      </c>
      <c r="F502" s="11">
        <f t="shared" si="31"/>
        <v>0</v>
      </c>
      <c r="G502">
        <f ca="1">SUM($F$2:F502)/E502</f>
        <v>117.11745899706304</v>
      </c>
      <c r="I502">
        <v>500</v>
      </c>
      <c r="J502">
        <f t="shared" si="32"/>
        <v>0</v>
      </c>
      <c r="K502">
        <f ca="1">SUM($J$2:J502)/I502</f>
        <v>115.07237731939578</v>
      </c>
      <c r="M502">
        <v>500</v>
      </c>
      <c r="N502">
        <f t="shared" si="33"/>
        <v>0</v>
      </c>
      <c r="O502">
        <f ca="1">SUM($N$2:N502)/M502</f>
        <v>117.11745899706304</v>
      </c>
    </row>
    <row r="503" spans="1:15" x14ac:dyDescent="0.2">
      <c r="A503">
        <v>501</v>
      </c>
      <c r="B503" s="11">
        <f t="shared" si="30"/>
        <v>0</v>
      </c>
      <c r="C503">
        <f ca="1">SUM($B$2:B503)/A503</f>
        <v>114.84269193552474</v>
      </c>
      <c r="E503">
        <v>501</v>
      </c>
      <c r="F503" s="11">
        <f t="shared" si="31"/>
        <v>0</v>
      </c>
      <c r="G503">
        <f ca="1">SUM($F$2:F503)/E503</f>
        <v>116.88369161383537</v>
      </c>
      <c r="I503">
        <v>501</v>
      </c>
      <c r="J503">
        <f t="shared" si="32"/>
        <v>0</v>
      </c>
      <c r="K503">
        <f ca="1">SUM($J$2:J503)/I503</f>
        <v>114.84269193552474</v>
      </c>
      <c r="M503">
        <v>501</v>
      </c>
      <c r="N503">
        <f t="shared" si="33"/>
        <v>0</v>
      </c>
      <c r="O503">
        <f ca="1">SUM($N$2:N503)/M503</f>
        <v>116.88369161383537</v>
      </c>
    </row>
    <row r="504" spans="1:15" x14ac:dyDescent="0.2">
      <c r="A504">
        <v>502</v>
      </c>
      <c r="B504" s="11">
        <f t="shared" si="30"/>
        <v>0</v>
      </c>
      <c r="C504">
        <f ca="1">SUM($B$2:B504)/A504</f>
        <v>114.61392163286433</v>
      </c>
      <c r="E504">
        <v>502</v>
      </c>
      <c r="F504" s="11">
        <f t="shared" si="31"/>
        <v>0</v>
      </c>
      <c r="G504">
        <f ca="1">SUM($F$2:F504)/E504</f>
        <v>116.65085557476398</v>
      </c>
      <c r="I504">
        <v>502</v>
      </c>
      <c r="J504">
        <f t="shared" si="32"/>
        <v>0</v>
      </c>
      <c r="K504">
        <f ca="1">SUM($J$2:J504)/I504</f>
        <v>114.61392163286433</v>
      </c>
      <c r="M504">
        <v>502</v>
      </c>
      <c r="N504">
        <f t="shared" si="33"/>
        <v>0</v>
      </c>
      <c r="O504">
        <f ca="1">SUM($N$2:N504)/M504</f>
        <v>116.65085557476398</v>
      </c>
    </row>
    <row r="505" spans="1:15" x14ac:dyDescent="0.2">
      <c r="A505">
        <v>503</v>
      </c>
      <c r="B505" s="11">
        <f t="shared" si="30"/>
        <v>0</v>
      </c>
      <c r="C505">
        <f ca="1">SUM($B$2:B505)/A505</f>
        <v>114.38606095367375</v>
      </c>
      <c r="E505">
        <v>503</v>
      </c>
      <c r="F505" s="11">
        <f t="shared" si="31"/>
        <v>0</v>
      </c>
      <c r="G505">
        <f ca="1">SUM($F$2:F505)/E505</f>
        <v>116.41894532511236</v>
      </c>
      <c r="I505">
        <v>503</v>
      </c>
      <c r="J505">
        <f t="shared" si="32"/>
        <v>0</v>
      </c>
      <c r="K505">
        <f ca="1">SUM($J$2:J505)/I505</f>
        <v>114.38606095367375</v>
      </c>
      <c r="M505">
        <v>503</v>
      </c>
      <c r="N505">
        <f t="shared" si="33"/>
        <v>0</v>
      </c>
      <c r="O505">
        <f ca="1">SUM($N$2:N505)/M505</f>
        <v>116.41894532511236</v>
      </c>
    </row>
    <row r="506" spans="1:15" x14ac:dyDescent="0.2">
      <c r="A506">
        <v>504</v>
      </c>
      <c r="B506" s="11">
        <f t="shared" si="30"/>
        <v>0</v>
      </c>
      <c r="C506">
        <f ca="1">SUM($B$2:B506)/A506</f>
        <v>114.15910448352757</v>
      </c>
      <c r="E506">
        <v>504</v>
      </c>
      <c r="F506" s="11">
        <f t="shared" si="31"/>
        <v>0</v>
      </c>
      <c r="G506">
        <f ca="1">SUM($F$2:F506)/E506</f>
        <v>116.1879553542292</v>
      </c>
      <c r="I506">
        <v>504</v>
      </c>
      <c r="J506">
        <f t="shared" si="32"/>
        <v>0</v>
      </c>
      <c r="K506">
        <f ca="1">SUM($J$2:J506)/I506</f>
        <v>114.15910448352757</v>
      </c>
      <c r="M506">
        <v>504</v>
      </c>
      <c r="N506">
        <f t="shared" si="33"/>
        <v>0</v>
      </c>
      <c r="O506">
        <f ca="1">SUM($N$2:N506)/M506</f>
        <v>116.1879553542292</v>
      </c>
    </row>
    <row r="507" spans="1:15" x14ac:dyDescent="0.2">
      <c r="A507">
        <v>505</v>
      </c>
      <c r="B507" s="11">
        <f t="shared" si="30"/>
        <v>0</v>
      </c>
      <c r="C507">
        <f ca="1">SUM($B$2:B507)/A507</f>
        <v>113.93304685088692</v>
      </c>
      <c r="E507">
        <v>505</v>
      </c>
      <c r="F507" s="11">
        <f t="shared" si="31"/>
        <v>0</v>
      </c>
      <c r="G507">
        <f ca="1">SUM($F$2:F507)/E507</f>
        <v>115.95788019511191</v>
      </c>
      <c r="I507">
        <v>505</v>
      </c>
      <c r="J507">
        <f t="shared" si="32"/>
        <v>0</v>
      </c>
      <c r="K507">
        <f ca="1">SUM($J$2:J507)/I507</f>
        <v>113.93304685088692</v>
      </c>
      <c r="M507">
        <v>505</v>
      </c>
      <c r="N507">
        <f t="shared" si="33"/>
        <v>0</v>
      </c>
      <c r="O507">
        <f ca="1">SUM($N$2:N507)/M507</f>
        <v>115.95788019511191</v>
      </c>
    </row>
    <row r="508" spans="1:15" x14ac:dyDescent="0.2">
      <c r="A508">
        <v>506</v>
      </c>
      <c r="B508" s="11">
        <f t="shared" si="30"/>
        <v>0</v>
      </c>
      <c r="C508">
        <f ca="1">SUM($B$2:B508)/A508</f>
        <v>113.70788272667568</v>
      </c>
      <c r="E508">
        <v>506</v>
      </c>
      <c r="F508" s="11">
        <f t="shared" si="31"/>
        <v>0</v>
      </c>
      <c r="G508">
        <f ca="1">SUM($F$2:F508)/E508</f>
        <v>115.72871442397533</v>
      </c>
      <c r="I508">
        <v>506</v>
      </c>
      <c r="J508">
        <f t="shared" si="32"/>
        <v>0</v>
      </c>
      <c r="K508">
        <f ca="1">SUM($J$2:J508)/I508</f>
        <v>113.70788272667568</v>
      </c>
      <c r="M508">
        <v>506</v>
      </c>
      <c r="N508">
        <f t="shared" si="33"/>
        <v>0</v>
      </c>
      <c r="O508">
        <f ca="1">SUM($N$2:N508)/M508</f>
        <v>115.72871442397533</v>
      </c>
    </row>
    <row r="509" spans="1:15" x14ac:dyDescent="0.2">
      <c r="A509">
        <v>507</v>
      </c>
      <c r="B509" s="11">
        <f t="shared" si="30"/>
        <v>0</v>
      </c>
      <c r="C509">
        <f ca="1">SUM($B$2:B509)/A509</f>
        <v>113.48360682386172</v>
      </c>
      <c r="E509">
        <v>507</v>
      </c>
      <c r="F509" s="11">
        <f t="shared" si="31"/>
        <v>0</v>
      </c>
      <c r="G509">
        <f ca="1">SUM($F$2:F509)/E509</f>
        <v>115.50045265982547</v>
      </c>
      <c r="I509">
        <v>507</v>
      </c>
      <c r="J509">
        <f t="shared" si="32"/>
        <v>0</v>
      </c>
      <c r="K509">
        <f ca="1">SUM($J$2:J509)/I509</f>
        <v>113.48360682386172</v>
      </c>
      <c r="M509">
        <v>507</v>
      </c>
      <c r="N509">
        <f t="shared" si="33"/>
        <v>0</v>
      </c>
      <c r="O509">
        <f ca="1">SUM($N$2:N509)/M509</f>
        <v>115.50045265982547</v>
      </c>
    </row>
    <row r="510" spans="1:15" x14ac:dyDescent="0.2">
      <c r="A510">
        <v>508</v>
      </c>
      <c r="B510" s="11">
        <f t="shared" si="30"/>
        <v>0</v>
      </c>
      <c r="C510">
        <f ca="1">SUM($B$2:B510)/A510</f>
        <v>113.2602138970431</v>
      </c>
      <c r="E510">
        <v>508</v>
      </c>
      <c r="F510" s="11">
        <f t="shared" si="31"/>
        <v>0</v>
      </c>
      <c r="G510">
        <f ca="1">SUM($F$2:F510)/E510</f>
        <v>115.27308956403841</v>
      </c>
      <c r="I510">
        <v>508</v>
      </c>
      <c r="J510">
        <f t="shared" si="32"/>
        <v>0</v>
      </c>
      <c r="K510">
        <f ca="1">SUM($J$2:J510)/I510</f>
        <v>113.2602138970431</v>
      </c>
      <c r="M510">
        <v>508</v>
      </c>
      <c r="N510">
        <f t="shared" si="33"/>
        <v>0</v>
      </c>
      <c r="O510">
        <f ca="1">SUM($N$2:N510)/M510</f>
        <v>115.27308956403841</v>
      </c>
    </row>
    <row r="511" spans="1:15" x14ac:dyDescent="0.2">
      <c r="A511">
        <v>509</v>
      </c>
      <c r="B511" s="11">
        <f t="shared" si="30"/>
        <v>0</v>
      </c>
      <c r="C511">
        <f ca="1">SUM($B$2:B511)/A511</f>
        <v>113.03769874203908</v>
      </c>
      <c r="E511">
        <v>509</v>
      </c>
      <c r="F511" s="11">
        <f t="shared" si="31"/>
        <v>0</v>
      </c>
      <c r="G511">
        <f ca="1">SUM($F$2:F511)/E511</f>
        <v>115.04661983994404</v>
      </c>
      <c r="I511">
        <v>509</v>
      </c>
      <c r="J511">
        <f t="shared" si="32"/>
        <v>0</v>
      </c>
      <c r="K511">
        <f ca="1">SUM($J$2:J511)/I511</f>
        <v>113.03769874203908</v>
      </c>
      <c r="M511">
        <v>509</v>
      </c>
      <c r="N511">
        <f t="shared" si="33"/>
        <v>0</v>
      </c>
      <c r="O511">
        <f ca="1">SUM($N$2:N511)/M511</f>
        <v>115.04661983994404</v>
      </c>
    </row>
    <row r="512" spans="1:15" x14ac:dyDescent="0.2">
      <c r="A512">
        <v>510</v>
      </c>
      <c r="B512" s="11">
        <f t="shared" si="30"/>
        <v>0</v>
      </c>
      <c r="C512">
        <f ca="1">SUM($B$2:B512)/A512</f>
        <v>112.81605619548607</v>
      </c>
      <c r="E512">
        <v>510</v>
      </c>
      <c r="F512" s="11">
        <f t="shared" si="31"/>
        <v>0</v>
      </c>
      <c r="G512">
        <f ca="1">SUM($F$2:F512)/E512</f>
        <v>114.82103823241474</v>
      </c>
      <c r="I512">
        <v>510</v>
      </c>
      <c r="J512">
        <f t="shared" si="32"/>
        <v>0</v>
      </c>
      <c r="K512">
        <f ca="1">SUM($J$2:J512)/I512</f>
        <v>112.81605619548607</v>
      </c>
      <c r="M512">
        <v>510</v>
      </c>
      <c r="N512">
        <f t="shared" si="33"/>
        <v>0</v>
      </c>
      <c r="O512">
        <f ca="1">SUM($N$2:N512)/M512</f>
        <v>114.82103823241474</v>
      </c>
    </row>
    <row r="513" spans="1:15" x14ac:dyDescent="0.2">
      <c r="A513">
        <v>511</v>
      </c>
      <c r="B513" s="11">
        <f t="shared" si="30"/>
        <v>0</v>
      </c>
      <c r="C513">
        <f ca="1">SUM($B$2:B513)/A513</f>
        <v>112.59528113443815</v>
      </c>
      <c r="E513">
        <v>511</v>
      </c>
      <c r="F513" s="11">
        <f t="shared" si="31"/>
        <v>0</v>
      </c>
      <c r="G513">
        <f ca="1">SUM($F$2:F513)/E513</f>
        <v>114.59633952745894</v>
      </c>
      <c r="I513">
        <v>511</v>
      </c>
      <c r="J513">
        <f t="shared" si="32"/>
        <v>0</v>
      </c>
      <c r="K513">
        <f ca="1">SUM($J$2:J513)/I513</f>
        <v>112.59528113443815</v>
      </c>
      <c r="M513">
        <v>511</v>
      </c>
      <c r="N513">
        <f t="shared" si="33"/>
        <v>0</v>
      </c>
      <c r="O513">
        <f ca="1">SUM($N$2:N513)/M513</f>
        <v>114.59633952745894</v>
      </c>
    </row>
    <row r="514" spans="1:15" x14ac:dyDescent="0.2">
      <c r="A514">
        <v>512</v>
      </c>
      <c r="B514" s="11">
        <f t="shared" si="30"/>
        <v>0</v>
      </c>
      <c r="C514">
        <f ca="1">SUM($B$2:B514)/A514</f>
        <v>112.37536847597245</v>
      </c>
      <c r="E514">
        <v>512</v>
      </c>
      <c r="F514" s="11">
        <f t="shared" si="31"/>
        <v>0</v>
      </c>
      <c r="G514">
        <f ca="1">SUM($F$2:F514)/E514</f>
        <v>114.37251855181937</v>
      </c>
      <c r="I514">
        <v>512</v>
      </c>
      <c r="J514">
        <f t="shared" si="32"/>
        <v>0</v>
      </c>
      <c r="K514">
        <f ca="1">SUM($J$2:J514)/I514</f>
        <v>112.37536847597245</v>
      </c>
      <c r="M514">
        <v>512</v>
      </c>
      <c r="N514">
        <f t="shared" si="33"/>
        <v>0</v>
      </c>
      <c r="O514">
        <f ca="1">SUM($N$2:N514)/M514</f>
        <v>114.37251855181937</v>
      </c>
    </row>
    <row r="515" spans="1:15" x14ac:dyDescent="0.2">
      <c r="A515">
        <v>513</v>
      </c>
      <c r="B515" s="11">
        <f t="shared" ref="B515:B578" si="34">IF(ARCap-IF((A515-IF(A515/180&gt;1,ROUNDDOWN(A515/180,0)*180,0))/30&lt;=1,IF(200*15*BaseSpeed/60*(YellowConnects+WhiteMHConnects+WhiteOHConnects+HoJConnects+WindfuryConnects+SSConnects+IronfoeConnects)*(A515-180*ROUNDDOWN(A515/180,0))&gt;1200,1200,200*15*BaseSpeed/60*(YellowConnects+WhiteMHConnects+WhiteOHConnects+HoJConnects+WindfuryConnects+SSConnects+IronfoeConnects)*(A515-180*ROUNDDOWN(A515/180,0))),0)&lt;0,ARCap,IF((A515-IF(A515/180&gt;1,ROUNDDOWN(A514/180,0)*180,0))/30&lt;=1,IF(200*15*BaseSpeed/60*(YellowConnects+WhiteMHConnects+WhiteOHConnects+HoJConnects+WindfuryConnects+SSConnects+IronfoeConnects)*(A515-180*ROUNDDOWN(A515/180,0))&gt;1200,1200,200*15*BaseSpeed/60*(YellowConnects+WhiteMHConnects+WhiteOHConnects+HoJConnects+WindfuryConnects+SSConnects+IronfoeConnects)*(A515-180*ROUNDDOWN(A515/180,0))),0))</f>
        <v>0</v>
      </c>
      <c r="C515">
        <f ca="1">SUM($B$2:B515)/A515</f>
        <v>112.15631317679902</v>
      </c>
      <c r="E515">
        <v>513</v>
      </c>
      <c r="F515" s="11">
        <f t="shared" ref="F515:F578" si="35">IF(ARCap-IF((A515-IF(A515/180&gt;1,ROUNDDOWN(A515/180,0)*180,0))/30&lt;=1,IF(200*15*BaseSpeed/60*(YellowConnects20+WhiteMHConnects20+WhiteOHConnects20+HoJConnects20+WindfuryConnects20+SSConnects20+IronfoeConnects20)*(A515-180*ROUNDDOWN(A515/180,0))&gt;1200,1200,200*15*BaseSpeed/60*(YellowConnects20+WhiteMHConnects20+WhiteOHConnects20+HoJConnects20+WindfuryConnects20+SSConnects20+IronfoeConnects20)*(A515-180*ROUNDDOWN(A515/180,0))),0)&lt;0,ARCap,IF((A515-IF(A515/180&gt;1,ROUNDDOWN(A515/180,0)*180,0))/30&lt;=1,IF(200*15*BaseSpeed/60*(YellowConnects20+WhiteMHConnects20+WhiteOHConnects20+HoJConnects20+WindfuryConnects20+SSConnects20+IronfoeConnects20)*(A515-180*ROUNDDOWN(A515/180,0))&gt;1200,1200,200*15*BaseSpeed/60*(YellowConnects20+WhiteMHConnects20+WhiteOHConnects20+HoJConnects20+WindfuryConnects20+SSConnects20+IronfoeConnects20)*(A515-180*ROUNDDOWN(A515/180,0))),0))</f>
        <v>0</v>
      </c>
      <c r="G515">
        <f ca="1">SUM($F$2:F515)/E515</f>
        <v>114.14957017257606</v>
      </c>
      <c r="I515">
        <v>513</v>
      </c>
      <c r="J515">
        <f t="shared" ref="J515:J578" si="36">IF(ARCap-(B515+BRE)&lt;0,ARCap,B515+BRE)</f>
        <v>0</v>
      </c>
      <c r="K515">
        <f ca="1">SUM($J$2:J515)/I515</f>
        <v>112.15631317679902</v>
      </c>
      <c r="M515">
        <v>513</v>
      </c>
      <c r="N515">
        <f t="shared" ref="N515:N578" si="37">IF(ARCap-(F515+BREArmorReduction20)&lt;0,ARCap,F515+BREArmorReduction20)</f>
        <v>0</v>
      </c>
      <c r="O515">
        <f ca="1">SUM($N$2:N515)/M515</f>
        <v>114.14957017257606</v>
      </c>
    </row>
    <row r="516" spans="1:15" x14ac:dyDescent="0.2">
      <c r="A516">
        <v>514</v>
      </c>
      <c r="B516" s="11">
        <f t="shared" si="34"/>
        <v>0</v>
      </c>
      <c r="C516">
        <f ca="1">SUM($B$2:B516)/A516</f>
        <v>111.93811023287527</v>
      </c>
      <c r="E516">
        <v>514</v>
      </c>
      <c r="F516" s="11">
        <f t="shared" si="35"/>
        <v>0</v>
      </c>
      <c r="G516">
        <f ca="1">SUM($F$2:F516)/E516</f>
        <v>113.92748929675392</v>
      </c>
      <c r="I516">
        <v>514</v>
      </c>
      <c r="J516">
        <f t="shared" si="36"/>
        <v>0</v>
      </c>
      <c r="K516">
        <f ca="1">SUM($J$2:J516)/I516</f>
        <v>111.93811023287527</v>
      </c>
      <c r="M516">
        <v>514</v>
      </c>
      <c r="N516">
        <f t="shared" si="37"/>
        <v>0</v>
      </c>
      <c r="O516">
        <f ca="1">SUM($N$2:N516)/M516</f>
        <v>113.92748929675392</v>
      </c>
    </row>
    <row r="517" spans="1:15" x14ac:dyDescent="0.2">
      <c r="A517">
        <v>515</v>
      </c>
      <c r="B517" s="11">
        <f t="shared" si="34"/>
        <v>0</v>
      </c>
      <c r="C517">
        <f ca="1">SUM($B$2:B517)/A517</f>
        <v>111.72075467902503</v>
      </c>
      <c r="E517">
        <v>515</v>
      </c>
      <c r="F517" s="11">
        <f t="shared" si="35"/>
        <v>0</v>
      </c>
      <c r="G517">
        <f ca="1">SUM($F$2:F517)/E517</f>
        <v>113.70627087093499</v>
      </c>
      <c r="I517">
        <v>515</v>
      </c>
      <c r="J517">
        <f t="shared" si="36"/>
        <v>0</v>
      </c>
      <c r="K517">
        <f ca="1">SUM($J$2:J517)/I517</f>
        <v>111.72075467902503</v>
      </c>
      <c r="M517">
        <v>515</v>
      </c>
      <c r="N517">
        <f t="shared" si="37"/>
        <v>0</v>
      </c>
      <c r="O517">
        <f ca="1">SUM($N$2:N517)/M517</f>
        <v>113.70627087093499</v>
      </c>
    </row>
    <row r="518" spans="1:15" x14ac:dyDescent="0.2">
      <c r="A518">
        <v>516</v>
      </c>
      <c r="B518" s="11">
        <f t="shared" si="34"/>
        <v>0</v>
      </c>
      <c r="C518">
        <f ca="1">SUM($B$2:B518)/A518</f>
        <v>111.50424158856181</v>
      </c>
      <c r="E518">
        <v>516</v>
      </c>
      <c r="F518" s="11">
        <f t="shared" si="35"/>
        <v>0</v>
      </c>
      <c r="G518">
        <f ca="1">SUM($F$2:F518)/E518</f>
        <v>113.48590988087503</v>
      </c>
      <c r="I518">
        <v>516</v>
      </c>
      <c r="J518">
        <f t="shared" si="36"/>
        <v>0</v>
      </c>
      <c r="K518">
        <f ca="1">SUM($J$2:J518)/I518</f>
        <v>111.50424158856181</v>
      </c>
      <c r="M518">
        <v>516</v>
      </c>
      <c r="N518">
        <f t="shared" si="37"/>
        <v>0</v>
      </c>
      <c r="O518">
        <f ca="1">SUM($N$2:N518)/M518</f>
        <v>113.48590988087503</v>
      </c>
    </row>
    <row r="519" spans="1:15" x14ac:dyDescent="0.2">
      <c r="A519">
        <v>517</v>
      </c>
      <c r="B519" s="11">
        <f t="shared" si="34"/>
        <v>0</v>
      </c>
      <c r="C519">
        <f ca="1">SUM($B$2:B519)/A519</f>
        <v>111.28856607291662</v>
      </c>
      <c r="E519">
        <v>517</v>
      </c>
      <c r="F519" s="11">
        <f t="shared" si="35"/>
        <v>0</v>
      </c>
      <c r="G519">
        <f ca="1">SUM($F$2:F519)/E519</f>
        <v>113.26640135112478</v>
      </c>
      <c r="I519">
        <v>517</v>
      </c>
      <c r="J519">
        <f t="shared" si="36"/>
        <v>0</v>
      </c>
      <c r="K519">
        <f ca="1">SUM($J$2:J519)/I519</f>
        <v>111.28856607291662</v>
      </c>
      <c r="M519">
        <v>517</v>
      </c>
      <c r="N519">
        <f t="shared" si="37"/>
        <v>0</v>
      </c>
      <c r="O519">
        <f ca="1">SUM($N$2:N519)/M519</f>
        <v>113.26640135112478</v>
      </c>
    </row>
    <row r="520" spans="1:15" x14ac:dyDescent="0.2">
      <c r="A520">
        <v>518</v>
      </c>
      <c r="B520" s="11">
        <f t="shared" si="34"/>
        <v>0</v>
      </c>
      <c r="C520">
        <f ca="1">SUM($B$2:B520)/A520</f>
        <v>111.07372328127006</v>
      </c>
      <c r="E520">
        <v>518</v>
      </c>
      <c r="F520" s="11">
        <f t="shared" si="35"/>
        <v>0</v>
      </c>
      <c r="G520">
        <f ca="1">SUM($F$2:F520)/E520</f>
        <v>113.04774034465544</v>
      </c>
      <c r="I520">
        <v>518</v>
      </c>
      <c r="J520">
        <f t="shared" si="36"/>
        <v>0</v>
      </c>
      <c r="K520">
        <f ca="1">SUM($J$2:J520)/I520</f>
        <v>111.07372328127006</v>
      </c>
      <c r="M520">
        <v>518</v>
      </c>
      <c r="N520">
        <f t="shared" si="37"/>
        <v>0</v>
      </c>
      <c r="O520">
        <f ca="1">SUM($N$2:N520)/M520</f>
        <v>113.04774034465544</v>
      </c>
    </row>
    <row r="521" spans="1:15" x14ac:dyDescent="0.2">
      <c r="A521">
        <v>519</v>
      </c>
      <c r="B521" s="11">
        <f t="shared" si="34"/>
        <v>0</v>
      </c>
      <c r="C521">
        <f ca="1">SUM($B$2:B521)/A521</f>
        <v>110.85970840018862</v>
      </c>
      <c r="E521">
        <v>519</v>
      </c>
      <c r="F521" s="11">
        <f t="shared" si="35"/>
        <v>0</v>
      </c>
      <c r="G521">
        <f ca="1">SUM($F$2:F521)/E521</f>
        <v>112.82992196248847</v>
      </c>
      <c r="I521">
        <v>519</v>
      </c>
      <c r="J521">
        <f t="shared" si="36"/>
        <v>0</v>
      </c>
      <c r="K521">
        <f ca="1">SUM($J$2:J521)/I521</f>
        <v>110.85970840018862</v>
      </c>
      <c r="M521">
        <v>519</v>
      </c>
      <c r="N521">
        <f t="shared" si="37"/>
        <v>0</v>
      </c>
      <c r="O521">
        <f ca="1">SUM($N$2:N521)/M521</f>
        <v>112.82992196248847</v>
      </c>
    </row>
    <row r="522" spans="1:15" x14ac:dyDescent="0.2">
      <c r="A522">
        <v>520</v>
      </c>
      <c r="B522" s="11">
        <f t="shared" si="34"/>
        <v>0</v>
      </c>
      <c r="C522">
        <f ca="1">SUM($B$2:B522)/A522</f>
        <v>110.64651665326518</v>
      </c>
      <c r="E522">
        <v>520</v>
      </c>
      <c r="F522" s="11">
        <f t="shared" si="35"/>
        <v>0</v>
      </c>
      <c r="G522">
        <f ca="1">SUM($F$2:F522)/E522</f>
        <v>112.61294134332984</v>
      </c>
      <c r="I522">
        <v>520</v>
      </c>
      <c r="J522">
        <f t="shared" si="36"/>
        <v>0</v>
      </c>
      <c r="K522">
        <f ca="1">SUM($J$2:J522)/I522</f>
        <v>110.64651665326518</v>
      </c>
      <c r="M522">
        <v>520</v>
      </c>
      <c r="N522">
        <f t="shared" si="37"/>
        <v>0</v>
      </c>
      <c r="O522">
        <f ca="1">SUM($N$2:N522)/M522</f>
        <v>112.61294134332984</v>
      </c>
    </row>
    <row r="523" spans="1:15" x14ac:dyDescent="0.2">
      <c r="A523">
        <v>521</v>
      </c>
      <c r="B523" s="11">
        <f t="shared" si="34"/>
        <v>0</v>
      </c>
      <c r="C523">
        <f ca="1">SUM($B$2:B523)/A523</f>
        <v>110.43414330076371</v>
      </c>
      <c r="E523">
        <v>521</v>
      </c>
      <c r="F523" s="11">
        <f t="shared" si="35"/>
        <v>0</v>
      </c>
      <c r="G523">
        <f ca="1">SUM($F$2:F523)/E523</f>
        <v>112.39679366320829</v>
      </c>
      <c r="I523">
        <v>521</v>
      </c>
      <c r="J523">
        <f t="shared" si="36"/>
        <v>0</v>
      </c>
      <c r="K523">
        <f ca="1">SUM($J$2:J523)/I523</f>
        <v>110.43414330076371</v>
      </c>
      <c r="M523">
        <v>521</v>
      </c>
      <c r="N523">
        <f t="shared" si="37"/>
        <v>0</v>
      </c>
      <c r="O523">
        <f ca="1">SUM($N$2:N523)/M523</f>
        <v>112.39679366320829</v>
      </c>
    </row>
    <row r="524" spans="1:15" x14ac:dyDescent="0.2">
      <c r="A524">
        <v>522</v>
      </c>
      <c r="B524" s="11">
        <f t="shared" si="34"/>
        <v>0</v>
      </c>
      <c r="C524">
        <f ca="1">SUM($B$2:B524)/A524</f>
        <v>110.222583639268</v>
      </c>
      <c r="E524">
        <v>522</v>
      </c>
      <c r="F524" s="11">
        <f t="shared" si="35"/>
        <v>0</v>
      </c>
      <c r="G524">
        <f ca="1">SUM($F$2:F524)/E524</f>
        <v>112.18147413511785</v>
      </c>
      <c r="I524">
        <v>522</v>
      </c>
      <c r="J524">
        <f t="shared" si="36"/>
        <v>0</v>
      </c>
      <c r="K524">
        <f ca="1">SUM($J$2:J524)/I524</f>
        <v>110.222583639268</v>
      </c>
      <c r="M524">
        <v>522</v>
      </c>
      <c r="N524">
        <f t="shared" si="37"/>
        <v>0</v>
      </c>
      <c r="O524">
        <f ca="1">SUM($N$2:N524)/M524</f>
        <v>112.18147413511785</v>
      </c>
    </row>
    <row r="525" spans="1:15" x14ac:dyDescent="0.2">
      <c r="A525">
        <v>523</v>
      </c>
      <c r="B525" s="11">
        <f t="shared" si="34"/>
        <v>0</v>
      </c>
      <c r="C525">
        <f ca="1">SUM($B$2:B525)/A525</f>
        <v>110.01183300133441</v>
      </c>
      <c r="E525">
        <v>523</v>
      </c>
      <c r="F525" s="11">
        <f t="shared" si="35"/>
        <v>0</v>
      </c>
      <c r="G525">
        <f ca="1">SUM($F$2:F525)/E525</f>
        <v>111.96697800866447</v>
      </c>
      <c r="I525">
        <v>523</v>
      </c>
      <c r="J525">
        <f t="shared" si="36"/>
        <v>0</v>
      </c>
      <c r="K525">
        <f ca="1">SUM($J$2:J525)/I525</f>
        <v>110.01183300133441</v>
      </c>
      <c r="M525">
        <v>523</v>
      </c>
      <c r="N525">
        <f t="shared" si="37"/>
        <v>0</v>
      </c>
      <c r="O525">
        <f ca="1">SUM($N$2:N525)/M525</f>
        <v>111.96697800866447</v>
      </c>
    </row>
    <row r="526" spans="1:15" x14ac:dyDescent="0.2">
      <c r="A526">
        <v>524</v>
      </c>
      <c r="B526" s="11">
        <f t="shared" si="34"/>
        <v>0</v>
      </c>
      <c r="C526">
        <f ca="1">SUM($B$2:B526)/A526</f>
        <v>109.80188675514866</v>
      </c>
      <c r="E526">
        <v>524</v>
      </c>
      <c r="F526" s="11">
        <f t="shared" si="35"/>
        <v>0</v>
      </c>
      <c r="G526">
        <f ca="1">SUM($F$2:F526)/E526</f>
        <v>111.75330056971663</v>
      </c>
      <c r="I526">
        <v>524</v>
      </c>
      <c r="J526">
        <f t="shared" si="36"/>
        <v>0</v>
      </c>
      <c r="K526">
        <f ca="1">SUM($J$2:J526)/I526</f>
        <v>109.80188675514866</v>
      </c>
      <c r="M526">
        <v>524</v>
      </c>
      <c r="N526">
        <f t="shared" si="37"/>
        <v>0</v>
      </c>
      <c r="O526">
        <f ca="1">SUM($N$2:N526)/M526</f>
        <v>111.75330056971663</v>
      </c>
    </row>
    <row r="527" spans="1:15" x14ac:dyDescent="0.2">
      <c r="A527">
        <v>525</v>
      </c>
      <c r="B527" s="11">
        <f t="shared" si="34"/>
        <v>0</v>
      </c>
      <c r="C527">
        <f ca="1">SUM($B$2:B527)/A527</f>
        <v>109.59274030418646</v>
      </c>
      <c r="E527">
        <v>525</v>
      </c>
      <c r="F527" s="11">
        <f t="shared" si="35"/>
        <v>0</v>
      </c>
      <c r="G527">
        <f ca="1">SUM($F$2:F527)/E527</f>
        <v>111.54043714006004</v>
      </c>
      <c r="I527">
        <v>525</v>
      </c>
      <c r="J527">
        <f t="shared" si="36"/>
        <v>0</v>
      </c>
      <c r="K527">
        <f ca="1">SUM($J$2:J527)/I527</f>
        <v>109.59274030418646</v>
      </c>
      <c r="M527">
        <v>525</v>
      </c>
      <c r="N527">
        <f t="shared" si="37"/>
        <v>0</v>
      </c>
      <c r="O527">
        <f ca="1">SUM($N$2:N527)/M527</f>
        <v>111.54043714006004</v>
      </c>
    </row>
    <row r="528" spans="1:15" x14ac:dyDescent="0.2">
      <c r="A528">
        <v>526</v>
      </c>
      <c r="B528" s="11">
        <f t="shared" si="34"/>
        <v>0</v>
      </c>
      <c r="C528">
        <f ca="1">SUM($B$2:B528)/A528</f>
        <v>109.38438908687813</v>
      </c>
      <c r="E528">
        <v>526</v>
      </c>
      <c r="F528" s="11">
        <f t="shared" si="35"/>
        <v>0</v>
      </c>
      <c r="G528">
        <f ca="1">SUM($F$2:F528)/E528</f>
        <v>111.32838307705612</v>
      </c>
      <c r="I528">
        <v>526</v>
      </c>
      <c r="J528">
        <f t="shared" si="36"/>
        <v>0</v>
      </c>
      <c r="K528">
        <f ca="1">SUM($J$2:J528)/I528</f>
        <v>109.38438908687813</v>
      </c>
      <c r="M528">
        <v>526</v>
      </c>
      <c r="N528">
        <f t="shared" si="37"/>
        <v>0</v>
      </c>
      <c r="O528">
        <f ca="1">SUM($N$2:N528)/M528</f>
        <v>111.32838307705612</v>
      </c>
    </row>
    <row r="529" spans="1:15" x14ac:dyDescent="0.2">
      <c r="A529">
        <v>527</v>
      </c>
      <c r="B529" s="11">
        <f t="shared" si="34"/>
        <v>0</v>
      </c>
      <c r="C529">
        <f ca="1">SUM($B$2:B529)/A529</f>
        <v>109.17682857627685</v>
      </c>
      <c r="E529">
        <v>527</v>
      </c>
      <c r="F529" s="11">
        <f t="shared" si="35"/>
        <v>0</v>
      </c>
      <c r="G529">
        <f ca="1">SUM($F$2:F529)/E529</f>
        <v>111.11713377330459</v>
      </c>
      <c r="I529">
        <v>527</v>
      </c>
      <c r="J529">
        <f t="shared" si="36"/>
        <v>0</v>
      </c>
      <c r="K529">
        <f ca="1">SUM($J$2:J529)/I529</f>
        <v>109.17682857627685</v>
      </c>
      <c r="M529">
        <v>527</v>
      </c>
      <c r="N529">
        <f t="shared" si="37"/>
        <v>0</v>
      </c>
      <c r="O529">
        <f ca="1">SUM($N$2:N529)/M529</f>
        <v>111.11713377330459</v>
      </c>
    </row>
    <row r="530" spans="1:15" x14ac:dyDescent="0.2">
      <c r="A530">
        <v>528</v>
      </c>
      <c r="B530" s="11">
        <f t="shared" si="34"/>
        <v>0</v>
      </c>
      <c r="C530">
        <f ca="1">SUM($B$2:B530)/A530</f>
        <v>108.97005427973086</v>
      </c>
      <c r="E530">
        <v>528</v>
      </c>
      <c r="F530" s="11">
        <f t="shared" si="35"/>
        <v>0</v>
      </c>
      <c r="G530">
        <f ca="1">SUM($F$2:F530)/E530</f>
        <v>110.90668465630969</v>
      </c>
      <c r="I530">
        <v>528</v>
      </c>
      <c r="J530">
        <f t="shared" si="36"/>
        <v>0</v>
      </c>
      <c r="K530">
        <f ca="1">SUM($J$2:J530)/I530</f>
        <v>108.97005427973086</v>
      </c>
      <c r="M530">
        <v>528</v>
      </c>
      <c r="N530">
        <f t="shared" si="37"/>
        <v>0</v>
      </c>
      <c r="O530">
        <f ca="1">SUM($N$2:N530)/M530</f>
        <v>110.90668465630969</v>
      </c>
    </row>
    <row r="531" spans="1:15" x14ac:dyDescent="0.2">
      <c r="A531">
        <v>529</v>
      </c>
      <c r="B531" s="11">
        <f t="shared" si="34"/>
        <v>0</v>
      </c>
      <c r="C531">
        <f ca="1">SUM($B$2:B531)/A531</f>
        <v>108.76406173855935</v>
      </c>
      <c r="E531">
        <v>529</v>
      </c>
      <c r="F531" s="11">
        <f t="shared" si="35"/>
        <v>0</v>
      </c>
      <c r="G531">
        <f ca="1">SUM($F$2:F531)/E531</f>
        <v>110.69703118815032</v>
      </c>
      <c r="I531">
        <v>529</v>
      </c>
      <c r="J531">
        <f t="shared" si="36"/>
        <v>0</v>
      </c>
      <c r="K531">
        <f ca="1">SUM($J$2:J531)/I531</f>
        <v>108.76406173855935</v>
      </c>
      <c r="M531">
        <v>529</v>
      </c>
      <c r="N531">
        <f t="shared" si="37"/>
        <v>0</v>
      </c>
      <c r="O531">
        <f ca="1">SUM($N$2:N531)/M531</f>
        <v>110.69703118815032</v>
      </c>
    </row>
    <row r="532" spans="1:15" x14ac:dyDescent="0.2">
      <c r="A532">
        <v>530</v>
      </c>
      <c r="B532" s="11">
        <f t="shared" si="34"/>
        <v>0</v>
      </c>
      <c r="C532">
        <f ca="1">SUM($B$2:B532)/A532</f>
        <v>108.55884652773187</v>
      </c>
      <c r="E532">
        <v>530</v>
      </c>
      <c r="F532" s="11">
        <f t="shared" si="35"/>
        <v>0</v>
      </c>
      <c r="G532">
        <f ca="1">SUM($F$2:F532)/E532</f>
        <v>110.48816886515381</v>
      </c>
      <c r="I532">
        <v>530</v>
      </c>
      <c r="J532">
        <f t="shared" si="36"/>
        <v>0</v>
      </c>
      <c r="K532">
        <f ca="1">SUM($J$2:J532)/I532</f>
        <v>108.55884652773187</v>
      </c>
      <c r="M532">
        <v>530</v>
      </c>
      <c r="N532">
        <f t="shared" si="37"/>
        <v>0</v>
      </c>
      <c r="O532">
        <f ca="1">SUM($N$2:N532)/M532</f>
        <v>110.48816886515381</v>
      </c>
    </row>
    <row r="533" spans="1:15" x14ac:dyDescent="0.2">
      <c r="A533">
        <v>531</v>
      </c>
      <c r="B533" s="11">
        <f t="shared" si="34"/>
        <v>0</v>
      </c>
      <c r="C533">
        <f ca="1">SUM($B$2:B533)/A533</f>
        <v>108.35440425555159</v>
      </c>
      <c r="E533">
        <v>531</v>
      </c>
      <c r="F533" s="11">
        <f t="shared" si="35"/>
        <v>0</v>
      </c>
      <c r="G533">
        <f ca="1">SUM($F$2:F533)/E533</f>
        <v>110.28009321757348</v>
      </c>
      <c r="I533">
        <v>531</v>
      </c>
      <c r="J533">
        <f t="shared" si="36"/>
        <v>0</v>
      </c>
      <c r="K533">
        <f ca="1">SUM($J$2:J533)/I533</f>
        <v>108.35440425555159</v>
      </c>
      <c r="M533">
        <v>531</v>
      </c>
      <c r="N533">
        <f t="shared" si="37"/>
        <v>0</v>
      </c>
      <c r="O533">
        <f ca="1">SUM($N$2:N533)/M533</f>
        <v>110.28009321757348</v>
      </c>
    </row>
    <row r="534" spans="1:15" x14ac:dyDescent="0.2">
      <c r="A534">
        <v>532</v>
      </c>
      <c r="B534" s="11">
        <f t="shared" si="34"/>
        <v>0</v>
      </c>
      <c r="C534">
        <f ca="1">SUM($B$2:B534)/A534</f>
        <v>108.15073056334191</v>
      </c>
      <c r="E534">
        <v>532</v>
      </c>
      <c r="F534" s="11">
        <f t="shared" si="35"/>
        <v>0</v>
      </c>
      <c r="G534">
        <f ca="1">SUM($F$2:F534)/E534</f>
        <v>110.07279980926977</v>
      </c>
      <c r="I534">
        <v>532</v>
      </c>
      <c r="J534">
        <f t="shared" si="36"/>
        <v>0</v>
      </c>
      <c r="K534">
        <f ca="1">SUM($J$2:J534)/I534</f>
        <v>108.15073056334191</v>
      </c>
      <c r="M534">
        <v>532</v>
      </c>
      <c r="N534">
        <f t="shared" si="37"/>
        <v>0</v>
      </c>
      <c r="O534">
        <f ca="1">SUM($N$2:N534)/M534</f>
        <v>110.07279980926977</v>
      </c>
    </row>
    <row r="535" spans="1:15" x14ac:dyDescent="0.2">
      <c r="A535">
        <v>533</v>
      </c>
      <c r="B535" s="11">
        <f t="shared" si="34"/>
        <v>0</v>
      </c>
      <c r="C535">
        <f ca="1">SUM($B$2:B535)/A535</f>
        <v>107.94782112513677</v>
      </c>
      <c r="E535">
        <v>533</v>
      </c>
      <c r="F535" s="11">
        <f t="shared" si="35"/>
        <v>0</v>
      </c>
      <c r="G535">
        <f ca="1">SUM($F$2:F535)/E535</f>
        <v>109.86628423739496</v>
      </c>
      <c r="I535">
        <v>533</v>
      </c>
      <c r="J535">
        <f t="shared" si="36"/>
        <v>0</v>
      </c>
      <c r="K535">
        <f ca="1">SUM($J$2:J535)/I535</f>
        <v>107.94782112513677</v>
      </c>
      <c r="M535">
        <v>533</v>
      </c>
      <c r="N535">
        <f t="shared" si="37"/>
        <v>0</v>
      </c>
      <c r="O535">
        <f ca="1">SUM($N$2:N535)/M535</f>
        <v>109.86628423739496</v>
      </c>
    </row>
    <row r="536" spans="1:15" x14ac:dyDescent="0.2">
      <c r="A536">
        <v>534</v>
      </c>
      <c r="B536" s="11">
        <f t="shared" si="34"/>
        <v>0</v>
      </c>
      <c r="C536">
        <f ca="1">SUM($B$2:B536)/A536</f>
        <v>107.74567164737434</v>
      </c>
      <c r="E536">
        <v>534</v>
      </c>
      <c r="F536" s="11">
        <f t="shared" si="35"/>
        <v>0</v>
      </c>
      <c r="G536">
        <f ca="1">SUM($F$2:F536)/E536</f>
        <v>109.66054213208149</v>
      </c>
      <c r="I536">
        <v>534</v>
      </c>
      <c r="J536">
        <f t="shared" si="36"/>
        <v>0</v>
      </c>
      <c r="K536">
        <f ca="1">SUM($J$2:J536)/I536</f>
        <v>107.74567164737434</v>
      </c>
      <c r="M536">
        <v>534</v>
      </c>
      <c r="N536">
        <f t="shared" si="37"/>
        <v>0</v>
      </c>
      <c r="O536">
        <f ca="1">SUM($N$2:N536)/M536</f>
        <v>109.66054213208149</v>
      </c>
    </row>
    <row r="537" spans="1:15" x14ac:dyDescent="0.2">
      <c r="A537">
        <v>535</v>
      </c>
      <c r="B537" s="11">
        <f t="shared" si="34"/>
        <v>0</v>
      </c>
      <c r="C537">
        <f ca="1">SUM($B$2:B537)/A537</f>
        <v>107.54427786859419</v>
      </c>
      <c r="E537">
        <v>535</v>
      </c>
      <c r="F537" s="11">
        <f t="shared" si="35"/>
        <v>0</v>
      </c>
      <c r="G537">
        <f ca="1">SUM($F$2:F537)/E537</f>
        <v>109.45556915613368</v>
      </c>
      <c r="I537">
        <v>535</v>
      </c>
      <c r="J537">
        <f t="shared" si="36"/>
        <v>0</v>
      </c>
      <c r="K537">
        <f ca="1">SUM($J$2:J537)/I537</f>
        <v>107.54427786859419</v>
      </c>
      <c r="M537">
        <v>535</v>
      </c>
      <c r="N537">
        <f t="shared" si="37"/>
        <v>0</v>
      </c>
      <c r="O537">
        <f ca="1">SUM($N$2:N537)/M537</f>
        <v>109.45556915613368</v>
      </c>
    </row>
    <row r="538" spans="1:15" x14ac:dyDescent="0.2">
      <c r="A538">
        <v>536</v>
      </c>
      <c r="B538" s="11">
        <f t="shared" si="34"/>
        <v>0</v>
      </c>
      <c r="C538">
        <f ca="1">SUM($B$2:B538)/A538</f>
        <v>107.34363555913787</v>
      </c>
      <c r="E538">
        <v>536</v>
      </c>
      <c r="F538" s="11">
        <f t="shared" si="35"/>
        <v>0</v>
      </c>
      <c r="G538">
        <f ca="1">SUM($F$2:F538)/E538</f>
        <v>109.25136100472298</v>
      </c>
      <c r="I538">
        <v>536</v>
      </c>
      <c r="J538">
        <f t="shared" si="36"/>
        <v>0</v>
      </c>
      <c r="K538">
        <f ca="1">SUM($J$2:J538)/I538</f>
        <v>107.34363555913787</v>
      </c>
      <c r="M538">
        <v>536</v>
      </c>
      <c r="N538">
        <f t="shared" si="37"/>
        <v>0</v>
      </c>
      <c r="O538">
        <f ca="1">SUM($N$2:N538)/M538</f>
        <v>109.25136100472298</v>
      </c>
    </row>
    <row r="539" spans="1:15" x14ac:dyDescent="0.2">
      <c r="A539">
        <v>537</v>
      </c>
      <c r="B539" s="11">
        <f t="shared" si="34"/>
        <v>0</v>
      </c>
      <c r="C539">
        <f ca="1">SUM($B$2:B539)/A539</f>
        <v>107.14374052085269</v>
      </c>
      <c r="E539">
        <v>537</v>
      </c>
      <c r="F539" s="11">
        <f t="shared" si="35"/>
        <v>0</v>
      </c>
      <c r="G539">
        <f ca="1">SUM($F$2:F539)/E539</f>
        <v>109.04791340508662</v>
      </c>
      <c r="I539">
        <v>537</v>
      </c>
      <c r="J539">
        <f t="shared" si="36"/>
        <v>0</v>
      </c>
      <c r="K539">
        <f ca="1">SUM($J$2:J539)/I539</f>
        <v>107.14374052085269</v>
      </c>
      <c r="M539">
        <v>537</v>
      </c>
      <c r="N539">
        <f t="shared" si="37"/>
        <v>0</v>
      </c>
      <c r="O539">
        <f ca="1">SUM($N$2:N539)/M539</f>
        <v>109.04791340508662</v>
      </c>
    </row>
    <row r="540" spans="1:15" x14ac:dyDescent="0.2">
      <c r="A540">
        <v>538</v>
      </c>
      <c r="B540" s="11">
        <f t="shared" si="34"/>
        <v>0</v>
      </c>
      <c r="C540">
        <f ca="1">SUM($B$2:B540)/A540</f>
        <v>106.94458858679906</v>
      </c>
      <c r="E540">
        <v>538</v>
      </c>
      <c r="F540" s="11">
        <f t="shared" si="35"/>
        <v>0</v>
      </c>
      <c r="G540">
        <f ca="1">SUM($F$2:F540)/E540</f>
        <v>108.84522211622958</v>
      </c>
      <c r="I540">
        <v>538</v>
      </c>
      <c r="J540">
        <f t="shared" si="36"/>
        <v>0</v>
      </c>
      <c r="K540">
        <f ca="1">SUM($J$2:J540)/I540</f>
        <v>106.94458858679906</v>
      </c>
      <c r="M540">
        <v>538</v>
      </c>
      <c r="N540">
        <f t="shared" si="37"/>
        <v>0</v>
      </c>
      <c r="O540">
        <f ca="1">SUM($N$2:N540)/M540</f>
        <v>108.84522211622958</v>
      </c>
    </row>
    <row r="541" spans="1:15" x14ac:dyDescent="0.2">
      <c r="A541">
        <v>539</v>
      </c>
      <c r="B541" s="11">
        <f t="shared" si="34"/>
        <v>0</v>
      </c>
      <c r="C541">
        <f ca="1">SUM($B$2:B541)/A541</f>
        <v>106.74617562096084</v>
      </c>
      <c r="E541">
        <v>539</v>
      </c>
      <c r="F541" s="11">
        <f t="shared" si="35"/>
        <v>0</v>
      </c>
      <c r="G541">
        <f ca="1">SUM($F$2:F541)/E541</f>
        <v>108.6432829286299</v>
      </c>
      <c r="I541">
        <v>539</v>
      </c>
      <c r="J541">
        <f t="shared" si="36"/>
        <v>0</v>
      </c>
      <c r="K541">
        <f ca="1">SUM($J$2:J541)/I541</f>
        <v>106.74617562096084</v>
      </c>
      <c r="M541">
        <v>539</v>
      </c>
      <c r="N541">
        <f t="shared" si="37"/>
        <v>0</v>
      </c>
      <c r="O541">
        <f ca="1">SUM($N$2:N541)/M541</f>
        <v>108.6432829286299</v>
      </c>
    </row>
    <row r="542" spans="1:15" x14ac:dyDescent="0.2">
      <c r="A542">
        <v>540</v>
      </c>
      <c r="B542" s="11">
        <f t="shared" ca="1" si="34"/>
        <v>0</v>
      </c>
      <c r="C542">
        <f ca="1">SUM($B$2:B542)/A542</f>
        <v>106.54849751795906</v>
      </c>
      <c r="E542">
        <v>540</v>
      </c>
      <c r="F542" s="11">
        <f t="shared" ca="1" si="35"/>
        <v>0</v>
      </c>
      <c r="G542">
        <f ca="1">SUM($F$2:F542)/E542</f>
        <v>108.44209166394725</v>
      </c>
      <c r="I542">
        <v>540</v>
      </c>
      <c r="J542">
        <f t="shared" ca="1" si="36"/>
        <v>0</v>
      </c>
      <c r="K542">
        <f ca="1">SUM($J$2:J542)/I542</f>
        <v>106.54849751795906</v>
      </c>
      <c r="M542">
        <v>540</v>
      </c>
      <c r="N542">
        <f t="shared" ca="1" si="37"/>
        <v>0</v>
      </c>
      <c r="O542">
        <f ca="1">SUM($N$2:N542)/M542</f>
        <v>108.44209166394725</v>
      </c>
    </row>
    <row r="543" spans="1:15" x14ac:dyDescent="0.2">
      <c r="A543">
        <v>541</v>
      </c>
      <c r="B543" s="11">
        <f t="shared" ca="1" si="34"/>
        <v>118.58197021550885</v>
      </c>
      <c r="C543">
        <f ca="1">SUM($B$2:B543)/A543</f>
        <v>106.57074053588428</v>
      </c>
      <c r="E543">
        <v>541</v>
      </c>
      <c r="F543" s="11">
        <f t="shared" ca="1" si="35"/>
        <v>142.35764995105063</v>
      </c>
      <c r="G543">
        <f ca="1">SUM($F$2:F543)/E543</f>
        <v>108.50478215985687</v>
      </c>
      <c r="I543">
        <v>541</v>
      </c>
      <c r="J543">
        <f t="shared" ca="1" si="36"/>
        <v>118.58197021550885</v>
      </c>
      <c r="K543">
        <f ca="1">SUM($J$2:J543)/I543</f>
        <v>106.57074053588428</v>
      </c>
      <c r="M543">
        <v>541</v>
      </c>
      <c r="N543">
        <f t="shared" ca="1" si="37"/>
        <v>142.35764995105063</v>
      </c>
      <c r="O543">
        <f ca="1">SUM($N$2:N543)/M543</f>
        <v>108.50478215985687</v>
      </c>
    </row>
    <row r="544" spans="1:15" x14ac:dyDescent="0.2">
      <c r="A544">
        <v>542</v>
      </c>
      <c r="B544" s="11">
        <f t="shared" ca="1" si="34"/>
        <v>237.16394043101769</v>
      </c>
      <c r="C544">
        <f ca="1">SUM($B$2:B544)/A544</f>
        <v>106.81168739915944</v>
      </c>
      <c r="E544">
        <v>542</v>
      </c>
      <c r="F544" s="11">
        <f t="shared" ca="1" si="35"/>
        <v>284.71529990210126</v>
      </c>
      <c r="G544">
        <f ca="1">SUM($F$2:F544)/E544</f>
        <v>108.82989381620787</v>
      </c>
      <c r="I544">
        <v>542</v>
      </c>
      <c r="J544">
        <f t="shared" ca="1" si="36"/>
        <v>237.16394043101769</v>
      </c>
      <c r="K544">
        <f ca="1">SUM($J$2:J544)/I544</f>
        <v>106.81168739915944</v>
      </c>
      <c r="M544">
        <v>542</v>
      </c>
      <c r="N544">
        <f t="shared" ca="1" si="37"/>
        <v>284.71529990210126</v>
      </c>
      <c r="O544">
        <f ca="1">SUM($N$2:N544)/M544</f>
        <v>108.82989381620787</v>
      </c>
    </row>
    <row r="545" spans="1:15" x14ac:dyDescent="0.2">
      <c r="A545">
        <v>543</v>
      </c>
      <c r="B545" s="11">
        <f t="shared" ca="1" si="34"/>
        <v>355.74591064652657</v>
      </c>
      <c r="C545">
        <f ca="1">SUM($B$2:B545)/A545</f>
        <v>107.27012979924667</v>
      </c>
      <c r="E545">
        <v>543</v>
      </c>
      <c r="F545" s="11">
        <f t="shared" ca="1" si="35"/>
        <v>427.0729498531519</v>
      </c>
      <c r="G545">
        <f ca="1">SUM($F$2:F545)/E545</f>
        <v>109.41597679233485</v>
      </c>
      <c r="I545">
        <v>543</v>
      </c>
      <c r="J545">
        <f t="shared" ca="1" si="36"/>
        <v>355.74591064652657</v>
      </c>
      <c r="K545">
        <f ca="1">SUM($J$2:J545)/I545</f>
        <v>107.27012979924667</v>
      </c>
      <c r="M545">
        <v>543</v>
      </c>
      <c r="N545">
        <f t="shared" ca="1" si="37"/>
        <v>427.0729498531519</v>
      </c>
      <c r="O545">
        <f ca="1">SUM($N$2:N545)/M545</f>
        <v>109.41597679233485</v>
      </c>
    </row>
    <row r="546" spans="1:15" x14ac:dyDescent="0.2">
      <c r="A546">
        <v>544</v>
      </c>
      <c r="B546" s="11">
        <f t="shared" ca="1" si="34"/>
        <v>474.32788086203539</v>
      </c>
      <c r="C546">
        <f ca="1">SUM($B$2:B546)/A546</f>
        <v>107.94486831222974</v>
      </c>
      <c r="E546">
        <v>544</v>
      </c>
      <c r="F546" s="11">
        <f t="shared" ca="1" si="35"/>
        <v>569.43059980420253</v>
      </c>
      <c r="G546">
        <f ca="1">SUM($F$2:F546)/E546</f>
        <v>110.26159190816549</v>
      </c>
      <c r="I546">
        <v>544</v>
      </c>
      <c r="J546">
        <f t="shared" ca="1" si="36"/>
        <v>474.32788086203539</v>
      </c>
      <c r="K546">
        <f ca="1">SUM($J$2:J546)/I546</f>
        <v>107.94486831222974</v>
      </c>
      <c r="M546">
        <v>544</v>
      </c>
      <c r="N546">
        <f t="shared" ca="1" si="37"/>
        <v>569.43059980420253</v>
      </c>
      <c r="O546">
        <f ca="1">SUM($N$2:N546)/M546</f>
        <v>110.26159190816549</v>
      </c>
    </row>
    <row r="547" spans="1:15" x14ac:dyDescent="0.2">
      <c r="A547">
        <v>545</v>
      </c>
      <c r="B547" s="11">
        <f t="shared" ca="1" si="34"/>
        <v>592.9098510775442</v>
      </c>
      <c r="C547">
        <f ca="1">SUM($B$2:B547)/A547</f>
        <v>108.83471231730371</v>
      </c>
      <c r="E547">
        <v>545</v>
      </c>
      <c r="F547" s="11">
        <f t="shared" ca="1" si="35"/>
        <v>696</v>
      </c>
      <c r="G547">
        <f ca="1">SUM($F$2:F547)/E547</f>
        <v>111.33634128081106</v>
      </c>
      <c r="I547">
        <v>545</v>
      </c>
      <c r="J547">
        <f t="shared" ca="1" si="36"/>
        <v>592.9098510775442</v>
      </c>
      <c r="K547">
        <f ca="1">SUM($J$2:J547)/I547</f>
        <v>108.83471231730371</v>
      </c>
      <c r="M547">
        <v>545</v>
      </c>
      <c r="N547">
        <f t="shared" ca="1" si="37"/>
        <v>696</v>
      </c>
      <c r="O547">
        <f ca="1">SUM($N$2:N547)/M547</f>
        <v>111.33634128081106</v>
      </c>
    </row>
    <row r="548" spans="1:15" x14ac:dyDescent="0.2">
      <c r="A548">
        <v>546</v>
      </c>
      <c r="B548" s="11">
        <f t="shared" ca="1" si="34"/>
        <v>696</v>
      </c>
      <c r="C548">
        <f ca="1">SUM($B$2:B548)/A548</f>
        <v>109.91010661708887</v>
      </c>
      <c r="E548">
        <v>546</v>
      </c>
      <c r="F548" s="11">
        <f t="shared" ca="1" si="35"/>
        <v>696</v>
      </c>
      <c r="G548">
        <f ca="1">SUM($F$2:F548)/E548</f>
        <v>112.40715384256781</v>
      </c>
      <c r="I548">
        <v>546</v>
      </c>
      <c r="J548">
        <f t="shared" ca="1" si="36"/>
        <v>696</v>
      </c>
      <c r="K548">
        <f ca="1">SUM($J$2:J548)/I548</f>
        <v>109.91010661708887</v>
      </c>
      <c r="M548">
        <v>546</v>
      </c>
      <c r="N548">
        <f t="shared" ca="1" si="37"/>
        <v>696</v>
      </c>
      <c r="O548">
        <f ca="1">SUM($N$2:N548)/M548</f>
        <v>112.40715384256781</v>
      </c>
    </row>
    <row r="549" spans="1:15" x14ac:dyDescent="0.2">
      <c r="A549">
        <v>547</v>
      </c>
      <c r="B549" s="11">
        <f t="shared" ca="1" si="34"/>
        <v>696</v>
      </c>
      <c r="C549">
        <f ca="1">SUM($B$2:B549)/A549</f>
        <v>110.98156894502839</v>
      </c>
      <c r="E549">
        <v>547</v>
      </c>
      <c r="F549" s="11">
        <f t="shared" ca="1" si="35"/>
        <v>696</v>
      </c>
      <c r="G549">
        <f ca="1">SUM($F$2:F549)/E549</f>
        <v>113.47405118472034</v>
      </c>
      <c r="I549">
        <v>547</v>
      </c>
      <c r="J549">
        <f t="shared" ca="1" si="36"/>
        <v>696</v>
      </c>
      <c r="K549">
        <f ca="1">SUM($J$2:J549)/I549</f>
        <v>110.98156894502839</v>
      </c>
      <c r="M549">
        <v>547</v>
      </c>
      <c r="N549">
        <f t="shared" ca="1" si="37"/>
        <v>696</v>
      </c>
      <c r="O549">
        <f ca="1">SUM($N$2:N549)/M549</f>
        <v>113.47405118472034</v>
      </c>
    </row>
    <row r="550" spans="1:15" x14ac:dyDescent="0.2">
      <c r="A550">
        <v>548</v>
      </c>
      <c r="B550" s="11">
        <f t="shared" ca="1" si="34"/>
        <v>696</v>
      </c>
      <c r="C550">
        <f ca="1">SUM($B$2:B550)/A550</f>
        <v>112.04912082651556</v>
      </c>
      <c r="E550">
        <v>548</v>
      </c>
      <c r="F550" s="11">
        <f t="shared" ca="1" si="35"/>
        <v>696</v>
      </c>
      <c r="G550">
        <f ca="1">SUM($F$2:F550)/E550</f>
        <v>114.5370547409526</v>
      </c>
      <c r="I550">
        <v>548</v>
      </c>
      <c r="J550">
        <f t="shared" ca="1" si="36"/>
        <v>696</v>
      </c>
      <c r="K550">
        <f ca="1">SUM($J$2:J550)/I550</f>
        <v>112.04912082651556</v>
      </c>
      <c r="M550">
        <v>548</v>
      </c>
      <c r="N550">
        <f t="shared" ca="1" si="37"/>
        <v>696</v>
      </c>
      <c r="O550">
        <f ca="1">SUM($N$2:N550)/M550</f>
        <v>114.5370547409526</v>
      </c>
    </row>
    <row r="551" spans="1:15" x14ac:dyDescent="0.2">
      <c r="A551">
        <v>549</v>
      </c>
      <c r="B551" s="11">
        <f t="shared" ca="1" si="34"/>
        <v>696</v>
      </c>
      <c r="C551">
        <f ca="1">SUM($B$2:B551)/A551</f>
        <v>113.11278363011024</v>
      </c>
      <c r="E551">
        <v>549</v>
      </c>
      <c r="F551" s="11">
        <f t="shared" ca="1" si="35"/>
        <v>696</v>
      </c>
      <c r="G551">
        <f ca="1">SUM($F$2:F551)/E551</f>
        <v>115.59618578878329</v>
      </c>
      <c r="I551">
        <v>549</v>
      </c>
      <c r="J551">
        <f t="shared" ca="1" si="36"/>
        <v>696</v>
      </c>
      <c r="K551">
        <f ca="1">SUM($J$2:J551)/I551</f>
        <v>113.11278363011024</v>
      </c>
      <c r="M551">
        <v>549</v>
      </c>
      <c r="N551">
        <f t="shared" ca="1" si="37"/>
        <v>696</v>
      </c>
      <c r="O551">
        <f ca="1">SUM($N$2:N551)/M551</f>
        <v>115.59618578878329</v>
      </c>
    </row>
    <row r="552" spans="1:15" x14ac:dyDescent="0.2">
      <c r="A552">
        <v>550</v>
      </c>
      <c r="B552" s="11">
        <f t="shared" ca="1" si="34"/>
        <v>696</v>
      </c>
      <c r="C552">
        <f ca="1">SUM($B$2:B552)/A552</f>
        <v>114.1725785689646</v>
      </c>
      <c r="E552">
        <v>550</v>
      </c>
      <c r="F552" s="11">
        <f t="shared" ca="1" si="35"/>
        <v>696</v>
      </c>
      <c r="G552">
        <f ca="1">SUM($F$2:F552)/E552</f>
        <v>116.6514654509855</v>
      </c>
      <c r="I552">
        <v>550</v>
      </c>
      <c r="J552">
        <f t="shared" ca="1" si="36"/>
        <v>696</v>
      </c>
      <c r="K552">
        <f ca="1">SUM($J$2:J552)/I552</f>
        <v>114.1725785689646</v>
      </c>
      <c r="M552">
        <v>550</v>
      </c>
      <c r="N552">
        <f t="shared" ca="1" si="37"/>
        <v>696</v>
      </c>
      <c r="O552">
        <f ca="1">SUM($N$2:N552)/M552</f>
        <v>116.6514654509855</v>
      </c>
    </row>
    <row r="553" spans="1:15" x14ac:dyDescent="0.2">
      <c r="A553">
        <v>551</v>
      </c>
      <c r="B553" s="11">
        <f t="shared" ca="1" si="34"/>
        <v>696</v>
      </c>
      <c r="C553">
        <f ca="1">SUM($B$2:B553)/A553</f>
        <v>115.22852670223325</v>
      </c>
      <c r="E553">
        <v>551</v>
      </c>
      <c r="F553" s="11">
        <f t="shared" ca="1" si="35"/>
        <v>696</v>
      </c>
      <c r="G553">
        <f ca="1">SUM($F$2:F553)/E553</f>
        <v>117.70291469699096</v>
      </c>
      <c r="I553">
        <v>551</v>
      </c>
      <c r="J553">
        <f t="shared" ca="1" si="36"/>
        <v>696</v>
      </c>
      <c r="K553">
        <f ca="1">SUM($J$2:J553)/I553</f>
        <v>115.22852670223325</v>
      </c>
      <c r="M553">
        <v>551</v>
      </c>
      <c r="N553">
        <f t="shared" ca="1" si="37"/>
        <v>696</v>
      </c>
      <c r="O553">
        <f ca="1">SUM($N$2:N553)/M553</f>
        <v>117.70291469699096</v>
      </c>
    </row>
    <row r="554" spans="1:15" x14ac:dyDescent="0.2">
      <c r="A554">
        <v>552</v>
      </c>
      <c r="B554" s="11">
        <f t="shared" ca="1" si="34"/>
        <v>696</v>
      </c>
      <c r="C554">
        <f ca="1">SUM($B$2:B554)/A554</f>
        <v>116.28064893646834</v>
      </c>
      <c r="E554">
        <v>552</v>
      </c>
      <c r="F554" s="11">
        <f t="shared" ca="1" si="35"/>
        <v>696</v>
      </c>
      <c r="G554">
        <f ca="1">SUM($F$2:F554)/E554</f>
        <v>118.75055434427902</v>
      </c>
      <c r="I554">
        <v>552</v>
      </c>
      <c r="J554">
        <f t="shared" ca="1" si="36"/>
        <v>696</v>
      </c>
      <c r="K554">
        <f ca="1">SUM($J$2:J554)/I554</f>
        <v>116.28064893646834</v>
      </c>
      <c r="M554">
        <v>552</v>
      </c>
      <c r="N554">
        <f t="shared" ca="1" si="37"/>
        <v>696</v>
      </c>
      <c r="O554">
        <f ca="1">SUM($N$2:N554)/M554</f>
        <v>118.75055434427902</v>
      </c>
    </row>
    <row r="555" spans="1:15" x14ac:dyDescent="0.2">
      <c r="A555">
        <v>553</v>
      </c>
      <c r="B555" s="11">
        <f t="shared" ca="1" si="34"/>
        <v>696</v>
      </c>
      <c r="C555">
        <f ca="1">SUM($B$2:B555)/A555</f>
        <v>117.32896602699914</v>
      </c>
      <c r="E555">
        <v>553</v>
      </c>
      <c r="F555" s="11">
        <f t="shared" ca="1" si="35"/>
        <v>696</v>
      </c>
      <c r="G555">
        <f ca="1">SUM($F$2:F555)/E555</f>
        <v>119.79440505975049</v>
      </c>
      <c r="I555">
        <v>553</v>
      </c>
      <c r="J555">
        <f t="shared" ca="1" si="36"/>
        <v>696</v>
      </c>
      <c r="K555">
        <f ca="1">SUM($J$2:J555)/I555</f>
        <v>117.32896602699914</v>
      </c>
      <c r="M555">
        <v>553</v>
      </c>
      <c r="N555">
        <f t="shared" ca="1" si="37"/>
        <v>696</v>
      </c>
      <c r="O555">
        <f ca="1">SUM($N$2:N555)/M555</f>
        <v>119.79440505975049</v>
      </c>
    </row>
    <row r="556" spans="1:15" x14ac:dyDescent="0.2">
      <c r="A556">
        <v>554</v>
      </c>
      <c r="B556" s="11">
        <f t="shared" ca="1" si="34"/>
        <v>696</v>
      </c>
      <c r="C556">
        <f ca="1">SUM($B$2:B556)/A556</f>
        <v>118.37349857929698</v>
      </c>
      <c r="E556">
        <v>554</v>
      </c>
      <c r="F556" s="11">
        <f t="shared" ca="1" si="35"/>
        <v>696</v>
      </c>
      <c r="G556">
        <f ca="1">SUM($F$2:F556)/E556</f>
        <v>120.83448736108669</v>
      </c>
      <c r="I556">
        <v>554</v>
      </c>
      <c r="J556">
        <f t="shared" ca="1" si="36"/>
        <v>696</v>
      </c>
      <c r="K556">
        <f ca="1">SUM($J$2:J556)/I556</f>
        <v>118.37349857929698</v>
      </c>
      <c r="M556">
        <v>554</v>
      </c>
      <c r="N556">
        <f t="shared" ca="1" si="37"/>
        <v>696</v>
      </c>
      <c r="O556">
        <f ca="1">SUM($N$2:N556)/M556</f>
        <v>120.83448736108669</v>
      </c>
    </row>
    <row r="557" spans="1:15" x14ac:dyDescent="0.2">
      <c r="A557">
        <v>555</v>
      </c>
      <c r="B557" s="11">
        <f t="shared" ca="1" si="34"/>
        <v>696</v>
      </c>
      <c r="C557">
        <f ca="1">SUM($B$2:B557)/A557</f>
        <v>119.41426705032528</v>
      </c>
      <c r="E557">
        <v>555</v>
      </c>
      <c r="F557" s="11">
        <f t="shared" ca="1" si="35"/>
        <v>696</v>
      </c>
      <c r="G557">
        <f ca="1">SUM($F$2:F557)/E557</f>
        <v>121.87082161809373</v>
      </c>
      <c r="I557">
        <v>555</v>
      </c>
      <c r="J557">
        <f t="shared" ca="1" si="36"/>
        <v>696</v>
      </c>
      <c r="K557">
        <f ca="1">SUM($J$2:J557)/I557</f>
        <v>119.41426705032528</v>
      </c>
      <c r="M557">
        <v>555</v>
      </c>
      <c r="N557">
        <f t="shared" ca="1" si="37"/>
        <v>696</v>
      </c>
      <c r="O557">
        <f ca="1">SUM($N$2:N557)/M557</f>
        <v>121.87082161809373</v>
      </c>
    </row>
    <row r="558" spans="1:15" x14ac:dyDescent="0.2">
      <c r="A558">
        <v>556</v>
      </c>
      <c r="B558" s="11">
        <f t="shared" ca="1" si="34"/>
        <v>696</v>
      </c>
      <c r="C558">
        <f ca="1">SUM($B$2:B558)/A558</f>
        <v>120.45129174987505</v>
      </c>
      <c r="E558">
        <v>556</v>
      </c>
      <c r="F558" s="11">
        <f t="shared" ca="1" si="35"/>
        <v>696</v>
      </c>
      <c r="G558">
        <f ca="1">SUM($F$2:F558)/E558</f>
        <v>122.90342805403242</v>
      </c>
      <c r="I558">
        <v>556</v>
      </c>
      <c r="J558">
        <f t="shared" ca="1" si="36"/>
        <v>696</v>
      </c>
      <c r="K558">
        <f ca="1">SUM($J$2:J558)/I558</f>
        <v>120.45129174987505</v>
      </c>
      <c r="M558">
        <v>556</v>
      </c>
      <c r="N558">
        <f t="shared" ca="1" si="37"/>
        <v>696</v>
      </c>
      <c r="O558">
        <f ca="1">SUM($N$2:N558)/M558</f>
        <v>122.90342805403242</v>
      </c>
    </row>
    <row r="559" spans="1:15" x14ac:dyDescent="0.2">
      <c r="A559">
        <v>557</v>
      </c>
      <c r="B559" s="11">
        <f t="shared" ca="1" si="34"/>
        <v>696</v>
      </c>
      <c r="C559">
        <f ca="1">SUM($B$2:B559)/A559</f>
        <v>121.48459284188604</v>
      </c>
      <c r="E559">
        <v>557</v>
      </c>
      <c r="F559" s="11">
        <f t="shared" ca="1" si="35"/>
        <v>696</v>
      </c>
      <c r="G559">
        <f ca="1">SUM($F$2:F559)/E559</f>
        <v>123.93232674693361</v>
      </c>
      <c r="I559">
        <v>557</v>
      </c>
      <c r="J559">
        <f t="shared" ca="1" si="36"/>
        <v>696</v>
      </c>
      <c r="K559">
        <f ca="1">SUM($J$2:J559)/I559</f>
        <v>121.48459284188604</v>
      </c>
      <c r="M559">
        <v>557</v>
      </c>
      <c r="N559">
        <f t="shared" ca="1" si="37"/>
        <v>696</v>
      </c>
      <c r="O559">
        <f ca="1">SUM($N$2:N559)/M559</f>
        <v>123.93232674693361</v>
      </c>
    </row>
    <row r="560" spans="1:15" x14ac:dyDescent="0.2">
      <c r="A560">
        <v>558</v>
      </c>
      <c r="B560" s="11">
        <f t="shared" ca="1" si="34"/>
        <v>696</v>
      </c>
      <c r="C560">
        <f ca="1">SUM($B$2:B560)/A560</f>
        <v>122.51419034575363</v>
      </c>
      <c r="E560">
        <v>558</v>
      </c>
      <c r="F560" s="11">
        <f t="shared" ca="1" si="35"/>
        <v>696</v>
      </c>
      <c r="G560">
        <f ca="1">SUM($F$2:F560)/E560</f>
        <v>124.95753763089968</v>
      </c>
      <c r="I560">
        <v>558</v>
      </c>
      <c r="J560">
        <f t="shared" ca="1" si="36"/>
        <v>696</v>
      </c>
      <c r="K560">
        <f ca="1">SUM($J$2:J560)/I560</f>
        <v>122.51419034575363</v>
      </c>
      <c r="M560">
        <v>558</v>
      </c>
      <c r="N560">
        <f t="shared" ca="1" si="37"/>
        <v>696</v>
      </c>
      <c r="O560">
        <f ca="1">SUM($N$2:N560)/M560</f>
        <v>124.95753763089968</v>
      </c>
    </row>
    <row r="561" spans="1:15" x14ac:dyDescent="0.2">
      <c r="A561">
        <v>559</v>
      </c>
      <c r="B561" s="11">
        <f t="shared" ca="1" si="34"/>
        <v>696</v>
      </c>
      <c r="C561">
        <f ca="1">SUM($B$2:B561)/A561</f>
        <v>123.5401041376217</v>
      </c>
      <c r="E561">
        <v>559</v>
      </c>
      <c r="F561" s="11">
        <f t="shared" ca="1" si="35"/>
        <v>696</v>
      </c>
      <c r="G561">
        <f ca="1">SUM($F$2:F561)/E561</f>
        <v>125.97908049739181</v>
      </c>
      <c r="I561">
        <v>559</v>
      </c>
      <c r="J561">
        <f t="shared" ca="1" si="36"/>
        <v>696</v>
      </c>
      <c r="K561">
        <f ca="1">SUM($J$2:J561)/I561</f>
        <v>123.5401041376217</v>
      </c>
      <c r="M561">
        <v>559</v>
      </c>
      <c r="N561">
        <f t="shared" ca="1" si="37"/>
        <v>696</v>
      </c>
      <c r="O561">
        <f ca="1">SUM($N$2:N561)/M561</f>
        <v>125.97908049739181</v>
      </c>
    </row>
    <row r="562" spans="1:15" x14ac:dyDescent="0.2">
      <c r="A562">
        <v>560</v>
      </c>
      <c r="B562" s="11">
        <f t="shared" ca="1" si="34"/>
        <v>696</v>
      </c>
      <c r="C562">
        <f ca="1">SUM($B$2:B562)/A562</f>
        <v>124.56235395166165</v>
      </c>
      <c r="E562">
        <v>560</v>
      </c>
      <c r="F562" s="11">
        <f t="shared" ca="1" si="35"/>
        <v>696</v>
      </c>
      <c r="G562">
        <f ca="1">SUM($F$2:F562)/E562</f>
        <v>126.99697499650361</v>
      </c>
      <c r="I562">
        <v>560</v>
      </c>
      <c r="J562">
        <f t="shared" ca="1" si="36"/>
        <v>696</v>
      </c>
      <c r="K562">
        <f ca="1">SUM($J$2:J562)/I562</f>
        <v>124.56235395166165</v>
      </c>
      <c r="M562">
        <v>560</v>
      </c>
      <c r="N562">
        <f t="shared" ca="1" si="37"/>
        <v>696</v>
      </c>
      <c r="O562">
        <f ca="1">SUM($N$2:N562)/M562</f>
        <v>126.99697499650361</v>
      </c>
    </row>
    <row r="563" spans="1:15" x14ac:dyDescent="0.2">
      <c r="A563">
        <v>561</v>
      </c>
      <c r="B563" s="11">
        <f t="shared" ca="1" si="34"/>
        <v>696</v>
      </c>
      <c r="C563">
        <f ca="1">SUM($B$2:B563)/A563</f>
        <v>125.58095938133783</v>
      </c>
      <c r="E563">
        <v>561</v>
      </c>
      <c r="F563" s="11">
        <f t="shared" ca="1" si="35"/>
        <v>696</v>
      </c>
      <c r="G563">
        <f ca="1">SUM($F$2:F563)/E563</f>
        <v>128.01124063822107</v>
      </c>
      <c r="I563">
        <v>561</v>
      </c>
      <c r="J563">
        <f t="shared" ca="1" si="36"/>
        <v>696</v>
      </c>
      <c r="K563">
        <f ca="1">SUM($J$2:J563)/I563</f>
        <v>125.58095938133783</v>
      </c>
      <c r="M563">
        <v>561</v>
      </c>
      <c r="N563">
        <f t="shared" ca="1" si="37"/>
        <v>696</v>
      </c>
      <c r="O563">
        <f ca="1">SUM($N$2:N563)/M563</f>
        <v>128.01124063822107</v>
      </c>
    </row>
    <row r="564" spans="1:15" x14ac:dyDescent="0.2">
      <c r="A564">
        <v>562</v>
      </c>
      <c r="B564" s="11">
        <f t="shared" ca="1" si="34"/>
        <v>696</v>
      </c>
      <c r="C564">
        <f ca="1">SUM($B$2:B564)/A564</f>
        <v>126.5959398806593</v>
      </c>
      <c r="E564">
        <v>562</v>
      </c>
      <c r="F564" s="11">
        <f t="shared" ca="1" si="35"/>
        <v>696</v>
      </c>
      <c r="G564">
        <f ca="1">SUM($F$2:F564)/E564</f>
        <v>129.02189679366907</v>
      </c>
      <c r="I564">
        <v>562</v>
      </c>
      <c r="J564">
        <f t="shared" ca="1" si="36"/>
        <v>696</v>
      </c>
      <c r="K564">
        <f ca="1">SUM($J$2:J564)/I564</f>
        <v>126.5959398806593</v>
      </c>
      <c r="M564">
        <v>562</v>
      </c>
      <c r="N564">
        <f t="shared" ca="1" si="37"/>
        <v>696</v>
      </c>
      <c r="O564">
        <f ca="1">SUM($N$2:N564)/M564</f>
        <v>129.02189679366907</v>
      </c>
    </row>
    <row r="565" spans="1:15" x14ac:dyDescent="0.2">
      <c r="A565">
        <v>563</v>
      </c>
      <c r="B565" s="11">
        <f t="shared" ca="1" si="34"/>
        <v>696</v>
      </c>
      <c r="C565">
        <f ca="1">SUM($B$2:B565)/A565</f>
        <v>127.60731476541834</v>
      </c>
      <c r="E565">
        <v>563</v>
      </c>
      <c r="F565" s="11">
        <f t="shared" ca="1" si="35"/>
        <v>696</v>
      </c>
      <c r="G565">
        <f ca="1">SUM($F$2:F565)/E565</f>
        <v>130.02896269634462</v>
      </c>
      <c r="I565">
        <v>563</v>
      </c>
      <c r="J565">
        <f t="shared" ca="1" si="36"/>
        <v>696</v>
      </c>
      <c r="K565">
        <f ca="1">SUM($J$2:J565)/I565</f>
        <v>127.60731476541834</v>
      </c>
      <c r="M565">
        <v>563</v>
      </c>
      <c r="N565">
        <f t="shared" ca="1" si="37"/>
        <v>696</v>
      </c>
      <c r="O565">
        <f ca="1">SUM($N$2:N565)/M565</f>
        <v>130.02896269634462</v>
      </c>
    </row>
    <row r="566" spans="1:15" x14ac:dyDescent="0.2">
      <c r="A566">
        <v>564</v>
      </c>
      <c r="B566" s="11">
        <f t="shared" ca="1" si="34"/>
        <v>696</v>
      </c>
      <c r="C566">
        <f ca="1">SUM($B$2:B566)/A566</f>
        <v>128.61510321441583</v>
      </c>
      <c r="E566">
        <v>564</v>
      </c>
      <c r="F566" s="11">
        <f t="shared" ca="1" si="35"/>
        <v>696</v>
      </c>
      <c r="G566">
        <f ca="1">SUM($F$2:F566)/E566</f>
        <v>131.03245744333691</v>
      </c>
      <c r="I566">
        <v>564</v>
      </c>
      <c r="J566">
        <f t="shared" ca="1" si="36"/>
        <v>696</v>
      </c>
      <c r="K566">
        <f ca="1">SUM($J$2:J566)/I566</f>
        <v>128.61510321441583</v>
      </c>
      <c r="M566">
        <v>564</v>
      </c>
      <c r="N566">
        <f t="shared" ca="1" si="37"/>
        <v>696</v>
      </c>
      <c r="O566">
        <f ca="1">SUM($N$2:N566)/M566</f>
        <v>131.03245744333691</v>
      </c>
    </row>
    <row r="567" spans="1:15" x14ac:dyDescent="0.2">
      <c r="A567">
        <v>565</v>
      </c>
      <c r="B567" s="11">
        <f t="shared" ca="1" si="34"/>
        <v>696</v>
      </c>
      <c r="C567">
        <f ca="1">SUM($B$2:B567)/A567</f>
        <v>129.6193242706735</v>
      </c>
      <c r="E567">
        <v>565</v>
      </c>
      <c r="F567" s="11">
        <f t="shared" ca="1" si="35"/>
        <v>696</v>
      </c>
      <c r="G567">
        <f ca="1">SUM($F$2:F567)/E567</f>
        <v>132.03239999653456</v>
      </c>
      <c r="I567">
        <v>565</v>
      </c>
      <c r="J567">
        <f t="shared" ca="1" si="36"/>
        <v>696</v>
      </c>
      <c r="K567">
        <f ca="1">SUM($J$2:J567)/I567</f>
        <v>129.6193242706735</v>
      </c>
      <c r="M567">
        <v>565</v>
      </c>
      <c r="N567">
        <f t="shared" ca="1" si="37"/>
        <v>696</v>
      </c>
      <c r="O567">
        <f ca="1">SUM($N$2:N567)/M567</f>
        <v>132.03239999653456</v>
      </c>
    </row>
    <row r="568" spans="1:15" x14ac:dyDescent="0.2">
      <c r="A568">
        <v>566</v>
      </c>
      <c r="B568" s="11">
        <f t="shared" ca="1" si="34"/>
        <v>696</v>
      </c>
      <c r="C568">
        <f ca="1">SUM($B$2:B568)/A568</f>
        <v>130.61999684263344</v>
      </c>
      <c r="E568">
        <v>566</v>
      </c>
      <c r="F568" s="11">
        <f t="shared" ca="1" si="35"/>
        <v>696</v>
      </c>
      <c r="G568">
        <f ca="1">SUM($F$2:F568)/E568</f>
        <v>133.02880918381982</v>
      </c>
      <c r="I568">
        <v>566</v>
      </c>
      <c r="J568">
        <f t="shared" ca="1" si="36"/>
        <v>696</v>
      </c>
      <c r="K568">
        <f ca="1">SUM($J$2:J568)/I568</f>
        <v>130.61999684263344</v>
      </c>
      <c r="M568">
        <v>566</v>
      </c>
      <c r="N568">
        <f t="shared" ca="1" si="37"/>
        <v>696</v>
      </c>
      <c r="O568">
        <f ca="1">SUM($N$2:N568)/M568</f>
        <v>133.02880918381982</v>
      </c>
    </row>
    <row r="569" spans="1:15" x14ac:dyDescent="0.2">
      <c r="A569">
        <v>567</v>
      </c>
      <c r="B569" s="11">
        <f t="shared" ca="1" si="34"/>
        <v>696</v>
      </c>
      <c r="C569">
        <f ca="1">SUM($B$2:B569)/A569</f>
        <v>131.61713970534484</v>
      </c>
      <c r="E569">
        <v>567</v>
      </c>
      <c r="F569" s="11">
        <f t="shared" ca="1" si="35"/>
        <v>696</v>
      </c>
      <c r="G569">
        <f ca="1">SUM($F$2:F569)/E569</f>
        <v>134.02170370025047</v>
      </c>
      <c r="I569">
        <v>567</v>
      </c>
      <c r="J569">
        <f t="shared" ca="1" si="36"/>
        <v>696</v>
      </c>
      <c r="K569">
        <f ca="1">SUM($J$2:J569)/I569</f>
        <v>131.61713970534484</v>
      </c>
      <c r="M569">
        <v>567</v>
      </c>
      <c r="N569">
        <f t="shared" ca="1" si="37"/>
        <v>696</v>
      </c>
      <c r="O569">
        <f ca="1">SUM($N$2:N569)/M569</f>
        <v>134.02170370025047</v>
      </c>
    </row>
    <row r="570" spans="1:15" x14ac:dyDescent="0.2">
      <c r="A570">
        <v>568</v>
      </c>
      <c r="B570" s="11">
        <f t="shared" ca="1" si="34"/>
        <v>696</v>
      </c>
      <c r="C570">
        <f ca="1">SUM($B$2:B570)/A570</f>
        <v>132.61077150163825</v>
      </c>
      <c r="E570">
        <v>568</v>
      </c>
      <c r="F570" s="11">
        <f t="shared" ca="1" si="35"/>
        <v>696</v>
      </c>
      <c r="G570">
        <f ca="1">SUM($F$2:F570)/E570</f>
        <v>135.01110210922891</v>
      </c>
      <c r="I570">
        <v>568</v>
      </c>
      <c r="J570">
        <f t="shared" ca="1" si="36"/>
        <v>696</v>
      </c>
      <c r="K570">
        <f ca="1">SUM($J$2:J570)/I570</f>
        <v>132.61077150163825</v>
      </c>
      <c r="M570">
        <v>568</v>
      </c>
      <c r="N570">
        <f t="shared" ca="1" si="37"/>
        <v>696</v>
      </c>
      <c r="O570">
        <f ca="1">SUM($N$2:N570)/M570</f>
        <v>135.01110210922891</v>
      </c>
    </row>
    <row r="571" spans="1:15" x14ac:dyDescent="0.2">
      <c r="A571">
        <v>569</v>
      </c>
      <c r="B571" s="11">
        <f t="shared" ca="1" si="34"/>
        <v>696</v>
      </c>
      <c r="C571">
        <f ca="1">SUM($B$2:B571)/A571</f>
        <v>133.60091074328739</v>
      </c>
      <c r="E571">
        <v>569</v>
      </c>
      <c r="F571" s="11">
        <f t="shared" ca="1" si="35"/>
        <v>696</v>
      </c>
      <c r="G571">
        <f ca="1">SUM($F$2:F571)/E571</f>
        <v>135.9970228436591</v>
      </c>
      <c r="I571">
        <v>569</v>
      </c>
      <c r="J571">
        <f t="shared" ca="1" si="36"/>
        <v>696</v>
      </c>
      <c r="K571">
        <f ca="1">SUM($J$2:J571)/I571</f>
        <v>133.60091074328739</v>
      </c>
      <c r="M571">
        <v>569</v>
      </c>
      <c r="N571">
        <f t="shared" ca="1" si="37"/>
        <v>696</v>
      </c>
      <c r="O571">
        <f ca="1">SUM($N$2:N571)/M571</f>
        <v>135.9970228436591</v>
      </c>
    </row>
    <row r="572" spans="1:15" x14ac:dyDescent="0.2">
      <c r="A572">
        <v>570</v>
      </c>
      <c r="B572" s="11">
        <f t="shared" ca="1" si="34"/>
        <v>696</v>
      </c>
      <c r="C572">
        <f ca="1">SUM($B$2:B572)/A572</f>
        <v>134.58757581215883</v>
      </c>
      <c r="E572">
        <v>570</v>
      </c>
      <c r="F572" s="11">
        <f t="shared" ca="1" si="35"/>
        <v>696</v>
      </c>
      <c r="G572">
        <f ca="1">SUM($F$2:F572)/E572</f>
        <v>136.97948420709128</v>
      </c>
      <c r="I572">
        <v>570</v>
      </c>
      <c r="J572">
        <f t="shared" ca="1" si="36"/>
        <v>696</v>
      </c>
      <c r="K572">
        <f ca="1">SUM($J$2:J572)/I572</f>
        <v>134.58757581215883</v>
      </c>
      <c r="M572">
        <v>570</v>
      </c>
      <c r="N572">
        <f t="shared" ca="1" si="37"/>
        <v>696</v>
      </c>
      <c r="O572">
        <f ca="1">SUM($N$2:N572)/M572</f>
        <v>136.97948420709128</v>
      </c>
    </row>
    <row r="573" spans="1:15" x14ac:dyDescent="0.2">
      <c r="A573">
        <v>571</v>
      </c>
      <c r="B573" s="11">
        <f t="shared" si="34"/>
        <v>0</v>
      </c>
      <c r="C573">
        <f ca="1">SUM($B$2:B573)/A573</f>
        <v>134.35187077571021</v>
      </c>
      <c r="E573">
        <v>571</v>
      </c>
      <c r="F573" s="11">
        <f t="shared" si="35"/>
        <v>0</v>
      </c>
      <c r="G573">
        <f ca="1">SUM($F$2:F573)/E573</f>
        <v>136.73959018921545</v>
      </c>
      <c r="I573">
        <v>571</v>
      </c>
      <c r="J573">
        <f t="shared" si="36"/>
        <v>0</v>
      </c>
      <c r="K573">
        <f ca="1">SUM($J$2:J573)/I573</f>
        <v>134.35187077571021</v>
      </c>
      <c r="M573">
        <v>571</v>
      </c>
      <c r="N573">
        <f t="shared" si="37"/>
        <v>0</v>
      </c>
      <c r="O573">
        <f ca="1">SUM($N$2:N573)/M573</f>
        <v>136.73959018921545</v>
      </c>
    </row>
    <row r="574" spans="1:15" x14ac:dyDescent="0.2">
      <c r="A574">
        <v>572</v>
      </c>
      <c r="B574" s="11">
        <f t="shared" si="34"/>
        <v>0</v>
      </c>
      <c r="C574">
        <f ca="1">SUM($B$2:B574)/A574</f>
        <v>134.11698988274568</v>
      </c>
      <c r="E574">
        <v>572</v>
      </c>
      <c r="F574" s="11">
        <f t="shared" si="35"/>
        <v>0</v>
      </c>
      <c r="G574">
        <f ca="1">SUM($F$2:F574)/E574</f>
        <v>136.50053496161192</v>
      </c>
      <c r="I574">
        <v>572</v>
      </c>
      <c r="J574">
        <f t="shared" si="36"/>
        <v>0</v>
      </c>
      <c r="K574">
        <f ca="1">SUM($J$2:J574)/I574</f>
        <v>134.11698988274568</v>
      </c>
      <c r="M574">
        <v>572</v>
      </c>
      <c r="N574">
        <f t="shared" si="37"/>
        <v>0</v>
      </c>
      <c r="O574">
        <f ca="1">SUM($N$2:N574)/M574</f>
        <v>136.50053496161192</v>
      </c>
    </row>
    <row r="575" spans="1:15" x14ac:dyDescent="0.2">
      <c r="A575">
        <v>573</v>
      </c>
      <c r="B575" s="11">
        <f t="shared" si="34"/>
        <v>0</v>
      </c>
      <c r="C575">
        <f ca="1">SUM($B$2:B575)/A575</f>
        <v>133.88292881837788</v>
      </c>
      <c r="E575">
        <v>573</v>
      </c>
      <c r="F575" s="11">
        <f t="shared" si="35"/>
        <v>0</v>
      </c>
      <c r="G575">
        <f ca="1">SUM($F$2:F575)/E575</f>
        <v>136.26231413270858</v>
      </c>
      <c r="I575">
        <v>573</v>
      </c>
      <c r="J575">
        <f t="shared" si="36"/>
        <v>0</v>
      </c>
      <c r="K575">
        <f ca="1">SUM($J$2:J575)/I575</f>
        <v>133.88292881837788</v>
      </c>
      <c r="M575">
        <v>573</v>
      </c>
      <c r="N575">
        <f t="shared" si="37"/>
        <v>0</v>
      </c>
      <c r="O575">
        <f ca="1">SUM($N$2:N575)/M575</f>
        <v>136.26231413270858</v>
      </c>
    </row>
    <row r="576" spans="1:15" x14ac:dyDescent="0.2">
      <c r="A576">
        <v>574</v>
      </c>
      <c r="B576" s="11">
        <f t="shared" si="34"/>
        <v>0</v>
      </c>
      <c r="C576">
        <f ca="1">SUM($B$2:B576)/A576</f>
        <v>133.64968329778839</v>
      </c>
      <c r="E576">
        <v>574</v>
      </c>
      <c r="F576" s="11">
        <f t="shared" si="35"/>
        <v>0</v>
      </c>
      <c r="G576">
        <f ca="1">SUM($F$2:F576)/E576</f>
        <v>136.02492334153663</v>
      </c>
      <c r="I576">
        <v>574</v>
      </c>
      <c r="J576">
        <f t="shared" si="36"/>
        <v>0</v>
      </c>
      <c r="K576">
        <f ca="1">SUM($J$2:J576)/I576</f>
        <v>133.64968329778839</v>
      </c>
      <c r="M576">
        <v>574</v>
      </c>
      <c r="N576">
        <f t="shared" si="37"/>
        <v>0</v>
      </c>
      <c r="O576">
        <f ca="1">SUM($N$2:N576)/M576</f>
        <v>136.02492334153663</v>
      </c>
    </row>
    <row r="577" spans="1:15" x14ac:dyDescent="0.2">
      <c r="A577">
        <v>575</v>
      </c>
      <c r="B577" s="11">
        <f t="shared" si="34"/>
        <v>0</v>
      </c>
      <c r="C577">
        <f ca="1">SUM($B$2:B577)/A577</f>
        <v>133.41724906596613</v>
      </c>
      <c r="E577">
        <v>575</v>
      </c>
      <c r="F577" s="11">
        <f t="shared" si="35"/>
        <v>0</v>
      </c>
      <c r="G577">
        <f ca="1">SUM($F$2:F577)/E577</f>
        <v>135.78835825746438</v>
      </c>
      <c r="I577">
        <v>575</v>
      </c>
      <c r="J577">
        <f t="shared" si="36"/>
        <v>0</v>
      </c>
      <c r="K577">
        <f ca="1">SUM($J$2:J577)/I577</f>
        <v>133.41724906596613</v>
      </c>
      <c r="M577">
        <v>575</v>
      </c>
      <c r="N577">
        <f t="shared" si="37"/>
        <v>0</v>
      </c>
      <c r="O577">
        <f ca="1">SUM($N$2:N577)/M577</f>
        <v>135.78835825746438</v>
      </c>
    </row>
    <row r="578" spans="1:15" x14ac:dyDescent="0.2">
      <c r="A578">
        <v>576</v>
      </c>
      <c r="B578" s="11">
        <f t="shared" si="34"/>
        <v>0</v>
      </c>
      <c r="C578">
        <f ca="1">SUM($B$2:B578)/A578</f>
        <v>133.18562189744884</v>
      </c>
      <c r="E578">
        <v>576</v>
      </c>
      <c r="F578" s="11">
        <f t="shared" si="35"/>
        <v>0</v>
      </c>
      <c r="G578">
        <f ca="1">SUM($F$2:F578)/E578</f>
        <v>135.55261457993407</v>
      </c>
      <c r="I578">
        <v>576</v>
      </c>
      <c r="J578">
        <f t="shared" si="36"/>
        <v>0</v>
      </c>
      <c r="K578">
        <f ca="1">SUM($J$2:J578)/I578</f>
        <v>133.18562189744884</v>
      </c>
      <c r="M578">
        <v>576</v>
      </c>
      <c r="N578">
        <f t="shared" si="37"/>
        <v>0</v>
      </c>
      <c r="O578">
        <f ca="1">SUM($N$2:N578)/M578</f>
        <v>135.55261457993407</v>
      </c>
    </row>
    <row r="579" spans="1:15" x14ac:dyDescent="0.2">
      <c r="A579">
        <v>577</v>
      </c>
      <c r="B579" s="11">
        <f t="shared" ref="B579:B642" si="38">IF(ARCap-IF((A579-IF(A579/180&gt;1,ROUNDDOWN(A579/180,0)*180,0))/30&lt;=1,IF(200*15*BaseSpeed/60*(YellowConnects+WhiteMHConnects+WhiteOHConnects+HoJConnects+WindfuryConnects+SSConnects+IronfoeConnects)*(A579-180*ROUNDDOWN(A579/180,0))&gt;1200,1200,200*15*BaseSpeed/60*(YellowConnects+WhiteMHConnects+WhiteOHConnects+HoJConnects+WindfuryConnects+SSConnects+IronfoeConnects)*(A579-180*ROUNDDOWN(A579/180,0))),0)&lt;0,ARCap,IF((A579-IF(A579/180&gt;1,ROUNDDOWN(A578/180,0)*180,0))/30&lt;=1,IF(200*15*BaseSpeed/60*(YellowConnects+WhiteMHConnects+WhiteOHConnects+HoJConnects+WindfuryConnects+SSConnects+IronfoeConnects)*(A579-180*ROUNDDOWN(A579/180,0))&gt;1200,1200,200*15*BaseSpeed/60*(YellowConnects+WhiteMHConnects+WhiteOHConnects+HoJConnects+WindfuryConnects+SSConnects+IronfoeConnects)*(A579-180*ROUNDDOWN(A579/180,0))),0))</f>
        <v>0</v>
      </c>
      <c r="C579">
        <f ca="1">SUM($B$2:B579)/A579</f>
        <v>132.95479759606678</v>
      </c>
      <c r="E579">
        <v>577</v>
      </c>
      <c r="F579" s="11">
        <f t="shared" ref="F579:F642" si="39">IF(ARCap-IF((A579-IF(A579/180&gt;1,ROUNDDOWN(A579/180,0)*180,0))/30&lt;=1,IF(200*15*BaseSpeed/60*(YellowConnects20+WhiteMHConnects20+WhiteOHConnects20+HoJConnects20+WindfuryConnects20+SSConnects20+IronfoeConnects20)*(A579-180*ROUNDDOWN(A579/180,0))&gt;1200,1200,200*15*BaseSpeed/60*(YellowConnects20+WhiteMHConnects20+WhiteOHConnects20+HoJConnects20+WindfuryConnects20+SSConnects20+IronfoeConnects20)*(A579-180*ROUNDDOWN(A579/180,0))),0)&lt;0,ARCap,IF((A579-IF(A579/180&gt;1,ROUNDDOWN(A579/180,0)*180,0))/30&lt;=1,IF(200*15*BaseSpeed/60*(YellowConnects20+WhiteMHConnects20+WhiteOHConnects20+HoJConnects20+WindfuryConnects20+SSConnects20+IronfoeConnects20)*(A579-180*ROUNDDOWN(A579/180,0))&gt;1200,1200,200*15*BaseSpeed/60*(YellowConnects20+WhiteMHConnects20+WhiteOHConnects20+HoJConnects20+WindfuryConnects20+SSConnects20+IronfoeConnects20)*(A579-180*ROUNDDOWN(A579/180,0))),0))</f>
        <v>0</v>
      </c>
      <c r="G579">
        <f ca="1">SUM($F$2:F579)/E579</f>
        <v>135.31768803820108</v>
      </c>
      <c r="I579">
        <v>577</v>
      </c>
      <c r="J579">
        <f t="shared" ref="J579:J642" si="40">IF(ARCap-(B579+BRE)&lt;0,ARCap,B579+BRE)</f>
        <v>0</v>
      </c>
      <c r="K579">
        <f ca="1">SUM($J$2:J579)/I579</f>
        <v>132.95479759606678</v>
      </c>
      <c r="M579">
        <v>577</v>
      </c>
      <c r="N579">
        <f t="shared" ref="N579:N642" si="41">IF(ARCap-(F579+BREArmorReduction20)&lt;0,ARCap,F579+BREArmorReduction20)</f>
        <v>0</v>
      </c>
      <c r="O579">
        <f ca="1">SUM($N$2:N579)/M579</f>
        <v>135.31768803820108</v>
      </c>
    </row>
    <row r="580" spans="1:15" x14ac:dyDescent="0.2">
      <c r="A580">
        <v>578</v>
      </c>
      <c r="B580" s="11">
        <f t="shared" si="38"/>
        <v>0</v>
      </c>
      <c r="C580">
        <f ca="1">SUM($B$2:B580)/A580</f>
        <v>132.72477199468949</v>
      </c>
      <c r="E580">
        <v>578</v>
      </c>
      <c r="F580" s="11">
        <f t="shared" si="39"/>
        <v>0</v>
      </c>
      <c r="G580">
        <f ca="1">SUM($F$2:F580)/E580</f>
        <v>135.08357439107616</v>
      </c>
      <c r="I580">
        <v>578</v>
      </c>
      <c r="J580">
        <f t="shared" si="40"/>
        <v>0</v>
      </c>
      <c r="K580">
        <f ca="1">SUM($J$2:J580)/I580</f>
        <v>132.72477199468949</v>
      </c>
      <c r="M580">
        <v>578</v>
      </c>
      <c r="N580">
        <f t="shared" si="41"/>
        <v>0</v>
      </c>
      <c r="O580">
        <f ca="1">SUM($N$2:N580)/M580</f>
        <v>135.08357439107616</v>
      </c>
    </row>
    <row r="581" spans="1:15" x14ac:dyDescent="0.2">
      <c r="A581">
        <v>579</v>
      </c>
      <c r="B581" s="11">
        <f t="shared" si="38"/>
        <v>0</v>
      </c>
      <c r="C581">
        <f ca="1">SUM($B$2:B581)/A581</f>
        <v>132.49554095497501</v>
      </c>
      <c r="E581">
        <v>579</v>
      </c>
      <c r="F581" s="11">
        <f t="shared" si="39"/>
        <v>0</v>
      </c>
      <c r="G581">
        <f ca="1">SUM($F$2:F581)/E581</f>
        <v>134.85026942667017</v>
      </c>
      <c r="I581">
        <v>579</v>
      </c>
      <c r="J581">
        <f t="shared" si="40"/>
        <v>0</v>
      </c>
      <c r="K581">
        <f ca="1">SUM($J$2:J581)/I581</f>
        <v>132.49554095497501</v>
      </c>
      <c r="M581">
        <v>579</v>
      </c>
      <c r="N581">
        <f t="shared" si="41"/>
        <v>0</v>
      </c>
      <c r="O581">
        <f ca="1">SUM($N$2:N581)/M581</f>
        <v>134.85026942667017</v>
      </c>
    </row>
    <row r="582" spans="1:15" x14ac:dyDescent="0.2">
      <c r="A582">
        <v>580</v>
      </c>
      <c r="B582" s="11">
        <f t="shared" si="38"/>
        <v>0</v>
      </c>
      <c r="C582">
        <f ca="1">SUM($B$2:B582)/A582</f>
        <v>132.2671003671216</v>
      </c>
      <c r="E582">
        <v>580</v>
      </c>
      <c r="F582" s="11">
        <f t="shared" si="39"/>
        <v>0</v>
      </c>
      <c r="G582">
        <f ca="1">SUM($F$2:F582)/E582</f>
        <v>134.61776896214141</v>
      </c>
      <c r="I582">
        <v>580</v>
      </c>
      <c r="J582">
        <f t="shared" si="40"/>
        <v>0</v>
      </c>
      <c r="K582">
        <f ca="1">SUM($J$2:J582)/I582</f>
        <v>132.2671003671216</v>
      </c>
      <c r="M582">
        <v>580</v>
      </c>
      <c r="N582">
        <f t="shared" si="41"/>
        <v>0</v>
      </c>
      <c r="O582">
        <f ca="1">SUM($N$2:N582)/M582</f>
        <v>134.61776896214141</v>
      </c>
    </row>
    <row r="583" spans="1:15" x14ac:dyDescent="0.2">
      <c r="A583">
        <v>581</v>
      </c>
      <c r="B583" s="11">
        <f t="shared" si="38"/>
        <v>0</v>
      </c>
      <c r="C583">
        <f ca="1">SUM($B$2:B583)/A583</f>
        <v>132.03944614962225</v>
      </c>
      <c r="E583">
        <v>581</v>
      </c>
      <c r="F583" s="11">
        <f t="shared" si="39"/>
        <v>0</v>
      </c>
      <c r="G583">
        <f ca="1">SUM($F$2:F583)/E583</f>
        <v>134.38606884344583</v>
      </c>
      <c r="I583">
        <v>581</v>
      </c>
      <c r="J583">
        <f t="shared" si="40"/>
        <v>0</v>
      </c>
      <c r="K583">
        <f ca="1">SUM($J$2:J583)/I583</f>
        <v>132.03944614962225</v>
      </c>
      <c r="M583">
        <v>581</v>
      </c>
      <c r="N583">
        <f t="shared" si="41"/>
        <v>0</v>
      </c>
      <c r="O583">
        <f ca="1">SUM($N$2:N583)/M583</f>
        <v>134.38606884344583</v>
      </c>
    </row>
    <row r="584" spans="1:15" x14ac:dyDescent="0.2">
      <c r="A584">
        <v>582</v>
      </c>
      <c r="B584" s="11">
        <f t="shared" si="38"/>
        <v>0</v>
      </c>
      <c r="C584">
        <f ca="1">SUM($B$2:B584)/A584</f>
        <v>131.81257424902151</v>
      </c>
      <c r="E584">
        <v>582</v>
      </c>
      <c r="F584" s="11">
        <f t="shared" si="39"/>
        <v>0</v>
      </c>
      <c r="G584">
        <f ca="1">SUM($F$2:F584)/E584</f>
        <v>134.15516494508938</v>
      </c>
      <c r="I584">
        <v>582</v>
      </c>
      <c r="J584">
        <f t="shared" si="40"/>
        <v>0</v>
      </c>
      <c r="K584">
        <f ca="1">SUM($J$2:J584)/I584</f>
        <v>131.81257424902151</v>
      </c>
      <c r="M584">
        <v>582</v>
      </c>
      <c r="N584">
        <f t="shared" si="41"/>
        <v>0</v>
      </c>
      <c r="O584">
        <f ca="1">SUM($N$2:N584)/M584</f>
        <v>134.15516494508938</v>
      </c>
    </row>
    <row r="585" spans="1:15" x14ac:dyDescent="0.2">
      <c r="A585">
        <v>583</v>
      </c>
      <c r="B585" s="11">
        <f t="shared" si="38"/>
        <v>0</v>
      </c>
      <c r="C585">
        <f ca="1">SUM($B$2:B585)/A585</f>
        <v>131.58648063967499</v>
      </c>
      <c r="E585">
        <v>583</v>
      </c>
      <c r="F585" s="11">
        <f t="shared" si="39"/>
        <v>0</v>
      </c>
      <c r="G585">
        <f ca="1">SUM($F$2:F585)/E585</f>
        <v>133.9250531698834</v>
      </c>
      <c r="I585">
        <v>583</v>
      </c>
      <c r="J585">
        <f t="shared" si="40"/>
        <v>0</v>
      </c>
      <c r="K585">
        <f ca="1">SUM($J$2:J585)/I585</f>
        <v>131.58648063967499</v>
      </c>
      <c r="M585">
        <v>583</v>
      </c>
      <c r="N585">
        <f t="shared" si="41"/>
        <v>0</v>
      </c>
      <c r="O585">
        <f ca="1">SUM($N$2:N585)/M585</f>
        <v>133.9250531698834</v>
      </c>
    </row>
    <row r="586" spans="1:15" x14ac:dyDescent="0.2">
      <c r="A586">
        <v>584</v>
      </c>
      <c r="B586" s="11">
        <f t="shared" si="38"/>
        <v>0</v>
      </c>
      <c r="C586">
        <f ca="1">SUM($B$2:B586)/A586</f>
        <v>131.36116132351117</v>
      </c>
      <c r="E586">
        <v>584</v>
      </c>
      <c r="F586" s="11">
        <f t="shared" si="39"/>
        <v>0</v>
      </c>
      <c r="G586">
        <f ca="1">SUM($F$2:F586)/E586</f>
        <v>133.69572944870208</v>
      </c>
      <c r="I586">
        <v>584</v>
      </c>
      <c r="J586">
        <f t="shared" si="40"/>
        <v>0</v>
      </c>
      <c r="K586">
        <f ca="1">SUM($J$2:J586)/I586</f>
        <v>131.36116132351117</v>
      </c>
      <c r="M586">
        <v>584</v>
      </c>
      <c r="N586">
        <f t="shared" si="41"/>
        <v>0</v>
      </c>
      <c r="O586">
        <f ca="1">SUM($N$2:N586)/M586</f>
        <v>133.69572944870208</v>
      </c>
    </row>
    <row r="587" spans="1:15" x14ac:dyDescent="0.2">
      <c r="A587">
        <v>585</v>
      </c>
      <c r="B587" s="11">
        <f t="shared" si="38"/>
        <v>0</v>
      </c>
      <c r="C587">
        <f ca="1">SUM($B$2:B587)/A587</f>
        <v>131.13661232979578</v>
      </c>
      <c r="E587">
        <v>585</v>
      </c>
      <c r="F587" s="11">
        <f t="shared" si="39"/>
        <v>0</v>
      </c>
      <c r="G587">
        <f ca="1">SUM($F$2:F587)/E587</f>
        <v>133.46718974024276</v>
      </c>
      <c r="I587">
        <v>585</v>
      </c>
      <c r="J587">
        <f t="shared" si="40"/>
        <v>0</v>
      </c>
      <c r="K587">
        <f ca="1">SUM($J$2:J587)/I587</f>
        <v>131.13661232979578</v>
      </c>
      <c r="M587">
        <v>585</v>
      </c>
      <c r="N587">
        <f t="shared" si="41"/>
        <v>0</v>
      </c>
      <c r="O587">
        <f ca="1">SUM($N$2:N587)/M587</f>
        <v>133.46718974024276</v>
      </c>
    </row>
    <row r="588" spans="1:15" x14ac:dyDescent="0.2">
      <c r="A588">
        <v>586</v>
      </c>
      <c r="B588" s="11">
        <f t="shared" si="38"/>
        <v>0</v>
      </c>
      <c r="C588">
        <f ca="1">SUM($B$2:B588)/A588</f>
        <v>130.91282971489852</v>
      </c>
      <c r="E588">
        <v>586</v>
      </c>
      <c r="F588" s="11">
        <f t="shared" si="39"/>
        <v>0</v>
      </c>
      <c r="G588">
        <f ca="1">SUM($F$2:F588)/E588</f>
        <v>133.23943003078844</v>
      </c>
      <c r="I588">
        <v>586</v>
      </c>
      <c r="J588">
        <f t="shared" si="40"/>
        <v>0</v>
      </c>
      <c r="K588">
        <f ca="1">SUM($J$2:J588)/I588</f>
        <v>130.91282971489852</v>
      </c>
      <c r="M588">
        <v>586</v>
      </c>
      <c r="N588">
        <f t="shared" si="41"/>
        <v>0</v>
      </c>
      <c r="O588">
        <f ca="1">SUM($N$2:N588)/M588</f>
        <v>133.23943003078844</v>
      </c>
    </row>
    <row r="589" spans="1:15" x14ac:dyDescent="0.2">
      <c r="A589">
        <v>587</v>
      </c>
      <c r="B589" s="11">
        <f t="shared" si="38"/>
        <v>0</v>
      </c>
      <c r="C589">
        <f ca="1">SUM($B$2:B589)/A589</f>
        <v>130.68980956206224</v>
      </c>
      <c r="E589">
        <v>587</v>
      </c>
      <c r="F589" s="11">
        <f t="shared" si="39"/>
        <v>0</v>
      </c>
      <c r="G589">
        <f ca="1">SUM($F$2:F589)/E589</f>
        <v>133.01244633397278</v>
      </c>
      <c r="I589">
        <v>587</v>
      </c>
      <c r="J589">
        <f t="shared" si="40"/>
        <v>0</v>
      </c>
      <c r="K589">
        <f ca="1">SUM($J$2:J589)/I589</f>
        <v>130.68980956206224</v>
      </c>
      <c r="M589">
        <v>587</v>
      </c>
      <c r="N589">
        <f t="shared" si="41"/>
        <v>0</v>
      </c>
      <c r="O589">
        <f ca="1">SUM($N$2:N589)/M589</f>
        <v>133.01244633397278</v>
      </c>
    </row>
    <row r="590" spans="1:15" x14ac:dyDescent="0.2">
      <c r="A590">
        <v>588</v>
      </c>
      <c r="B590" s="11">
        <f t="shared" si="38"/>
        <v>0</v>
      </c>
      <c r="C590">
        <f ca="1">SUM($B$2:B590)/A590</f>
        <v>130.46754798117436</v>
      </c>
      <c r="E590">
        <v>588</v>
      </c>
      <c r="F590" s="11">
        <f t="shared" si="39"/>
        <v>0</v>
      </c>
      <c r="G590">
        <f ca="1">SUM($F$2:F590)/E590</f>
        <v>132.78623469054764</v>
      </c>
      <c r="I590">
        <v>588</v>
      </c>
      <c r="J590">
        <f t="shared" si="40"/>
        <v>0</v>
      </c>
      <c r="K590">
        <f ca="1">SUM($J$2:J590)/I590</f>
        <v>130.46754798117436</v>
      </c>
      <c r="M590">
        <v>588</v>
      </c>
      <c r="N590">
        <f t="shared" si="41"/>
        <v>0</v>
      </c>
      <c r="O590">
        <f ca="1">SUM($N$2:N590)/M590</f>
        <v>132.78623469054764</v>
      </c>
    </row>
    <row r="591" spans="1:15" x14ac:dyDescent="0.2">
      <c r="A591">
        <v>589</v>
      </c>
      <c r="B591" s="11">
        <f t="shared" si="38"/>
        <v>0</v>
      </c>
      <c r="C591">
        <f ca="1">SUM($B$2:B591)/A591</f>
        <v>130.24604110854079</v>
      </c>
      <c r="E591">
        <v>589</v>
      </c>
      <c r="F591" s="11">
        <f t="shared" si="39"/>
        <v>0</v>
      </c>
      <c r="G591">
        <f ca="1">SUM($F$2:F591)/E591</f>
        <v>132.56079116815283</v>
      </c>
      <c r="I591">
        <v>589</v>
      </c>
      <c r="J591">
        <f t="shared" si="40"/>
        <v>0</v>
      </c>
      <c r="K591">
        <f ca="1">SUM($J$2:J591)/I591</f>
        <v>130.24604110854079</v>
      </c>
      <c r="M591">
        <v>589</v>
      </c>
      <c r="N591">
        <f t="shared" si="41"/>
        <v>0</v>
      </c>
      <c r="O591">
        <f ca="1">SUM($N$2:N591)/M591</f>
        <v>132.56079116815283</v>
      </c>
    </row>
    <row r="592" spans="1:15" x14ac:dyDescent="0.2">
      <c r="A592">
        <v>590</v>
      </c>
      <c r="B592" s="11">
        <f t="shared" si="38"/>
        <v>0</v>
      </c>
      <c r="C592">
        <f ca="1">SUM($B$2:B592)/A592</f>
        <v>130.0252851066619</v>
      </c>
      <c r="E592">
        <v>590</v>
      </c>
      <c r="F592" s="11">
        <f t="shared" si="39"/>
        <v>0</v>
      </c>
      <c r="G592">
        <f ca="1">SUM($F$2:F592)/E592</f>
        <v>132.33611186108817</v>
      </c>
      <c r="I592">
        <v>590</v>
      </c>
      <c r="J592">
        <f t="shared" si="40"/>
        <v>0</v>
      </c>
      <c r="K592">
        <f ca="1">SUM($J$2:J592)/I592</f>
        <v>130.0252851066619</v>
      </c>
      <c r="M592">
        <v>590</v>
      </c>
      <c r="N592">
        <f t="shared" si="41"/>
        <v>0</v>
      </c>
      <c r="O592">
        <f ca="1">SUM($N$2:N592)/M592</f>
        <v>132.33611186108817</v>
      </c>
    </row>
    <row r="593" spans="1:15" x14ac:dyDescent="0.2">
      <c r="A593">
        <v>591</v>
      </c>
      <c r="B593" s="11">
        <f t="shared" si="38"/>
        <v>0</v>
      </c>
      <c r="C593">
        <f ca="1">SUM($B$2:B593)/A593</f>
        <v>129.80527616401105</v>
      </c>
      <c r="E593">
        <v>591</v>
      </c>
      <c r="F593" s="11">
        <f t="shared" si="39"/>
        <v>0</v>
      </c>
      <c r="G593">
        <f ca="1">SUM($F$2:F593)/E593</f>
        <v>132.11219289008801</v>
      </c>
      <c r="I593">
        <v>591</v>
      </c>
      <c r="J593">
        <f t="shared" si="40"/>
        <v>0</v>
      </c>
      <c r="K593">
        <f ca="1">SUM($J$2:J593)/I593</f>
        <v>129.80527616401105</v>
      </c>
      <c r="M593">
        <v>591</v>
      </c>
      <c r="N593">
        <f t="shared" si="41"/>
        <v>0</v>
      </c>
      <c r="O593">
        <f ca="1">SUM($N$2:N593)/M593</f>
        <v>132.11219289008801</v>
      </c>
    </row>
    <row r="594" spans="1:15" x14ac:dyDescent="0.2">
      <c r="A594">
        <v>592</v>
      </c>
      <c r="B594" s="11">
        <f t="shared" si="38"/>
        <v>0</v>
      </c>
      <c r="C594">
        <f ca="1">SUM($B$2:B594)/A594</f>
        <v>129.58601049481507</v>
      </c>
      <c r="E594">
        <v>592</v>
      </c>
      <c r="F594" s="11">
        <f t="shared" si="39"/>
        <v>0</v>
      </c>
      <c r="G594">
        <f ca="1">SUM($F$2:F594)/E594</f>
        <v>131.889030402098</v>
      </c>
      <c r="I594">
        <v>592</v>
      </c>
      <c r="J594">
        <f t="shared" si="40"/>
        <v>0</v>
      </c>
      <c r="K594">
        <f ca="1">SUM($J$2:J594)/I594</f>
        <v>129.58601049481507</v>
      </c>
      <c r="M594">
        <v>592</v>
      </c>
      <c r="N594">
        <f t="shared" si="41"/>
        <v>0</v>
      </c>
      <c r="O594">
        <f ca="1">SUM($N$2:N594)/M594</f>
        <v>131.889030402098</v>
      </c>
    </row>
    <row r="595" spans="1:15" x14ac:dyDescent="0.2">
      <c r="A595">
        <v>593</v>
      </c>
      <c r="B595" s="11">
        <f t="shared" si="38"/>
        <v>0</v>
      </c>
      <c r="C595">
        <f ca="1">SUM($B$2:B595)/A595</f>
        <v>129.3674843388373</v>
      </c>
      <c r="E595">
        <v>593</v>
      </c>
      <c r="F595" s="11">
        <f t="shared" si="39"/>
        <v>0</v>
      </c>
      <c r="G595">
        <f ca="1">SUM($F$2:F595)/E595</f>
        <v>131.66662057005399</v>
      </c>
      <c r="I595">
        <v>593</v>
      </c>
      <c r="J595">
        <f t="shared" si="40"/>
        <v>0</v>
      </c>
      <c r="K595">
        <f ca="1">SUM($J$2:J595)/I595</f>
        <v>129.3674843388373</v>
      </c>
      <c r="M595">
        <v>593</v>
      </c>
      <c r="N595">
        <f t="shared" si="41"/>
        <v>0</v>
      </c>
      <c r="O595">
        <f ca="1">SUM($N$2:N595)/M595</f>
        <v>131.66662057005399</v>
      </c>
    </row>
    <row r="596" spans="1:15" x14ac:dyDescent="0.2">
      <c r="A596">
        <v>594</v>
      </c>
      <c r="B596" s="11">
        <f t="shared" si="38"/>
        <v>0</v>
      </c>
      <c r="C596">
        <f ca="1">SUM($B$2:B596)/A596</f>
        <v>129.14969396116251</v>
      </c>
      <c r="E596">
        <v>594</v>
      </c>
      <c r="F596" s="11">
        <f t="shared" si="39"/>
        <v>0</v>
      </c>
      <c r="G596">
        <f ca="1">SUM($F$2:F596)/E596</f>
        <v>131.44495959266334</v>
      </c>
      <c r="I596">
        <v>594</v>
      </c>
      <c r="J596">
        <f t="shared" si="40"/>
        <v>0</v>
      </c>
      <c r="K596">
        <f ca="1">SUM($J$2:J596)/I596</f>
        <v>129.14969396116251</v>
      </c>
      <c r="M596">
        <v>594</v>
      </c>
      <c r="N596">
        <f t="shared" si="41"/>
        <v>0</v>
      </c>
      <c r="O596">
        <f ca="1">SUM($N$2:N596)/M596</f>
        <v>131.44495959266334</v>
      </c>
    </row>
    <row r="597" spans="1:15" x14ac:dyDescent="0.2">
      <c r="A597">
        <v>595</v>
      </c>
      <c r="B597" s="11">
        <f t="shared" si="38"/>
        <v>0</v>
      </c>
      <c r="C597">
        <f ca="1">SUM($B$2:B597)/A597</f>
        <v>128.93263565198407</v>
      </c>
      <c r="E597">
        <v>595</v>
      </c>
      <c r="F597" s="11">
        <f t="shared" si="39"/>
        <v>0</v>
      </c>
      <c r="G597">
        <f ca="1">SUM($F$2:F597)/E597</f>
        <v>131.22404369418828</v>
      </c>
      <c r="I597">
        <v>595</v>
      </c>
      <c r="J597">
        <f t="shared" si="40"/>
        <v>0</v>
      </c>
      <c r="K597">
        <f ca="1">SUM($J$2:J597)/I597</f>
        <v>128.93263565198407</v>
      </c>
      <c r="M597">
        <v>595</v>
      </c>
      <c r="N597">
        <f t="shared" si="41"/>
        <v>0</v>
      </c>
      <c r="O597">
        <f ca="1">SUM($N$2:N597)/M597</f>
        <v>131.22404369418828</v>
      </c>
    </row>
    <row r="598" spans="1:15" x14ac:dyDescent="0.2">
      <c r="A598">
        <v>596</v>
      </c>
      <c r="B598" s="11">
        <f t="shared" si="38"/>
        <v>0</v>
      </c>
      <c r="C598">
        <f ca="1">SUM($B$2:B598)/A598</f>
        <v>128.7163057263935</v>
      </c>
      <c r="E598">
        <v>596</v>
      </c>
      <c r="F598" s="11">
        <f t="shared" si="39"/>
        <v>0</v>
      </c>
      <c r="G598">
        <f ca="1">SUM($F$2:F598)/E598</f>
        <v>131.00386912423158</v>
      </c>
      <c r="I598">
        <v>596</v>
      </c>
      <c r="J598">
        <f t="shared" si="40"/>
        <v>0</v>
      </c>
      <c r="K598">
        <f ca="1">SUM($J$2:J598)/I598</f>
        <v>128.7163057263935</v>
      </c>
      <c r="M598">
        <v>596</v>
      </c>
      <c r="N598">
        <f t="shared" si="41"/>
        <v>0</v>
      </c>
      <c r="O598">
        <f ca="1">SUM($N$2:N598)/M598</f>
        <v>131.00386912423158</v>
      </c>
    </row>
    <row r="599" spans="1:15" x14ac:dyDescent="0.2">
      <c r="A599">
        <v>597</v>
      </c>
      <c r="B599" s="11">
        <f t="shared" si="38"/>
        <v>0</v>
      </c>
      <c r="C599">
        <f ca="1">SUM($B$2:B599)/A599</f>
        <v>128.50070052417175</v>
      </c>
      <c r="E599">
        <v>597</v>
      </c>
      <c r="F599" s="11">
        <f t="shared" si="39"/>
        <v>0</v>
      </c>
      <c r="G599">
        <f ca="1">SUM($F$2:F599)/E599</f>
        <v>130.78443215752432</v>
      </c>
      <c r="I599">
        <v>597</v>
      </c>
      <c r="J599">
        <f t="shared" si="40"/>
        <v>0</v>
      </c>
      <c r="K599">
        <f ca="1">SUM($J$2:J599)/I599</f>
        <v>128.50070052417175</v>
      </c>
      <c r="M599">
        <v>597</v>
      </c>
      <c r="N599">
        <f t="shared" si="41"/>
        <v>0</v>
      </c>
      <c r="O599">
        <f ca="1">SUM($N$2:N599)/M599</f>
        <v>130.78443215752432</v>
      </c>
    </row>
    <row r="600" spans="1:15" x14ac:dyDescent="0.2">
      <c r="A600">
        <v>598</v>
      </c>
      <c r="B600" s="11">
        <f t="shared" si="38"/>
        <v>0</v>
      </c>
      <c r="C600">
        <f ca="1">SUM($B$2:B600)/A600</f>
        <v>128.28581640958282</v>
      </c>
      <c r="E600">
        <v>598</v>
      </c>
      <c r="F600" s="11">
        <f t="shared" si="39"/>
        <v>0</v>
      </c>
      <c r="G600">
        <f ca="1">SUM($F$2:F600)/E600</f>
        <v>130.56572909371576</v>
      </c>
      <c r="I600">
        <v>598</v>
      </c>
      <c r="J600">
        <f t="shared" si="40"/>
        <v>0</v>
      </c>
      <c r="K600">
        <f ca="1">SUM($J$2:J600)/I600</f>
        <v>128.28581640958282</v>
      </c>
      <c r="M600">
        <v>598</v>
      </c>
      <c r="N600">
        <f t="shared" si="41"/>
        <v>0</v>
      </c>
      <c r="O600">
        <f ca="1">SUM($N$2:N600)/M600</f>
        <v>130.56572909371576</v>
      </c>
    </row>
    <row r="601" spans="1:15" x14ac:dyDescent="0.2">
      <c r="A601">
        <v>599</v>
      </c>
      <c r="B601" s="11">
        <f t="shared" si="38"/>
        <v>0</v>
      </c>
      <c r="C601">
        <f ca="1">SUM($B$2:B601)/A601</f>
        <v>128.07164977116949</v>
      </c>
      <c r="E601">
        <v>599</v>
      </c>
      <c r="F601" s="11">
        <f t="shared" si="39"/>
        <v>0</v>
      </c>
      <c r="G601">
        <f ca="1">SUM($F$2:F601)/E601</f>
        <v>130.34775625716532</v>
      </c>
      <c r="I601">
        <v>599</v>
      </c>
      <c r="J601">
        <f t="shared" si="40"/>
        <v>0</v>
      </c>
      <c r="K601">
        <f ca="1">SUM($J$2:J601)/I601</f>
        <v>128.07164977116949</v>
      </c>
      <c r="M601">
        <v>599</v>
      </c>
      <c r="N601">
        <f t="shared" si="41"/>
        <v>0</v>
      </c>
      <c r="O601">
        <f ca="1">SUM($N$2:N601)/M601</f>
        <v>130.34775625716532</v>
      </c>
    </row>
    <row r="602" spans="1:15" x14ac:dyDescent="0.2">
      <c r="A602">
        <v>600</v>
      </c>
      <c r="B602" s="11">
        <f t="shared" si="38"/>
        <v>0</v>
      </c>
      <c r="C602">
        <f ca="1">SUM($B$2:B602)/A602</f>
        <v>127.85819702155088</v>
      </c>
      <c r="E602">
        <v>600</v>
      </c>
      <c r="F602" s="11">
        <f t="shared" si="39"/>
        <v>0</v>
      </c>
      <c r="G602">
        <f ca="1">SUM($F$2:F602)/E602</f>
        <v>130.13050999673669</v>
      </c>
      <c r="I602">
        <v>600</v>
      </c>
      <c r="J602">
        <f t="shared" si="40"/>
        <v>0</v>
      </c>
      <c r="K602">
        <f ca="1">SUM($J$2:J602)/I602</f>
        <v>127.85819702155088</v>
      </c>
      <c r="M602">
        <v>600</v>
      </c>
      <c r="N602">
        <f t="shared" si="41"/>
        <v>0</v>
      </c>
      <c r="O602">
        <f ca="1">SUM($N$2:N602)/M602</f>
        <v>130.13050999673669</v>
      </c>
    </row>
    <row r="603" spans="1:15" x14ac:dyDescent="0.2">
      <c r="A603">
        <v>601</v>
      </c>
      <c r="B603" s="11">
        <f t="shared" si="38"/>
        <v>0</v>
      </c>
      <c r="C603">
        <f ca="1">SUM($B$2:B603)/A603</f>
        <v>127.64545459722217</v>
      </c>
      <c r="E603">
        <v>601</v>
      </c>
      <c r="F603" s="11">
        <f t="shared" si="39"/>
        <v>0</v>
      </c>
      <c r="G603">
        <f ca="1">SUM($F$2:F603)/E603</f>
        <v>129.91398668559404</v>
      </c>
      <c r="I603">
        <v>601</v>
      </c>
      <c r="J603">
        <f t="shared" si="40"/>
        <v>0</v>
      </c>
      <c r="K603">
        <f ca="1">SUM($J$2:J603)/I603</f>
        <v>127.64545459722217</v>
      </c>
      <c r="M603">
        <v>601</v>
      </c>
      <c r="N603">
        <f t="shared" si="41"/>
        <v>0</v>
      </c>
      <c r="O603">
        <f ca="1">SUM($N$2:N603)/M603</f>
        <v>129.91398668559404</v>
      </c>
    </row>
    <row r="604" spans="1:15" x14ac:dyDescent="0.2">
      <c r="A604">
        <v>602</v>
      </c>
      <c r="B604" s="11">
        <f t="shared" si="38"/>
        <v>0</v>
      </c>
      <c r="C604">
        <f ca="1">SUM($B$2:B604)/A604</f>
        <v>127.43341895835636</v>
      </c>
      <c r="E604">
        <v>602</v>
      </c>
      <c r="F604" s="11">
        <f t="shared" si="39"/>
        <v>0</v>
      </c>
      <c r="G604">
        <f ca="1">SUM($F$2:F604)/E604</f>
        <v>129.69818272100002</v>
      </c>
      <c r="I604">
        <v>602</v>
      </c>
      <c r="J604">
        <f t="shared" si="40"/>
        <v>0</v>
      </c>
      <c r="K604">
        <f ca="1">SUM($J$2:J604)/I604</f>
        <v>127.43341895835636</v>
      </c>
      <c r="M604">
        <v>602</v>
      </c>
      <c r="N604">
        <f t="shared" si="41"/>
        <v>0</v>
      </c>
      <c r="O604">
        <f ca="1">SUM($N$2:N604)/M604</f>
        <v>129.69818272100002</v>
      </c>
    </row>
    <row r="605" spans="1:15" x14ac:dyDescent="0.2">
      <c r="A605">
        <v>603</v>
      </c>
      <c r="B605" s="11">
        <f t="shared" si="38"/>
        <v>0</v>
      </c>
      <c r="C605">
        <f ca="1">SUM($B$2:B605)/A605</f>
        <v>127.22208658860784</v>
      </c>
      <c r="E605">
        <v>603</v>
      </c>
      <c r="F605" s="11">
        <f t="shared" si="39"/>
        <v>0</v>
      </c>
      <c r="G605">
        <f ca="1">SUM($F$2:F605)/E605</f>
        <v>129.48309452411613</v>
      </c>
      <c r="I605">
        <v>603</v>
      </c>
      <c r="J605">
        <f t="shared" si="40"/>
        <v>0</v>
      </c>
      <c r="K605">
        <f ca="1">SUM($J$2:J605)/I605</f>
        <v>127.22208658860784</v>
      </c>
      <c r="M605">
        <v>603</v>
      </c>
      <c r="N605">
        <f t="shared" si="41"/>
        <v>0</v>
      </c>
      <c r="O605">
        <f ca="1">SUM($N$2:N605)/M605</f>
        <v>129.48309452411613</v>
      </c>
    </row>
    <row r="606" spans="1:15" x14ac:dyDescent="0.2">
      <c r="A606">
        <v>604</v>
      </c>
      <c r="B606" s="11">
        <f t="shared" si="38"/>
        <v>0</v>
      </c>
      <c r="C606">
        <f ca="1">SUM($B$2:B606)/A606</f>
        <v>127.01145399491809</v>
      </c>
      <c r="E606">
        <v>604</v>
      </c>
      <c r="F606" s="11">
        <f t="shared" si="39"/>
        <v>0</v>
      </c>
      <c r="G606">
        <f ca="1">SUM($F$2:F606)/E606</f>
        <v>129.26871853980467</v>
      </c>
      <c r="I606">
        <v>604</v>
      </c>
      <c r="J606">
        <f t="shared" si="40"/>
        <v>0</v>
      </c>
      <c r="K606">
        <f ca="1">SUM($J$2:J606)/I606</f>
        <v>127.01145399491809</v>
      </c>
      <c r="M606">
        <v>604</v>
      </c>
      <c r="N606">
        <f t="shared" si="41"/>
        <v>0</v>
      </c>
      <c r="O606">
        <f ca="1">SUM($N$2:N606)/M606</f>
        <v>129.26871853980467</v>
      </c>
    </row>
    <row r="607" spans="1:15" x14ac:dyDescent="0.2">
      <c r="A607">
        <v>605</v>
      </c>
      <c r="B607" s="11">
        <f t="shared" si="38"/>
        <v>0</v>
      </c>
      <c r="C607">
        <f ca="1">SUM($B$2:B607)/A607</f>
        <v>126.80151770732319</v>
      </c>
      <c r="E607">
        <v>605</v>
      </c>
      <c r="F607" s="11">
        <f t="shared" si="39"/>
        <v>0</v>
      </c>
      <c r="G607">
        <f ca="1">SUM($F$2:F607)/E607</f>
        <v>129.05505123643309</v>
      </c>
      <c r="I607">
        <v>605</v>
      </c>
      <c r="J607">
        <f t="shared" si="40"/>
        <v>0</v>
      </c>
      <c r="K607">
        <f ca="1">SUM($J$2:J607)/I607</f>
        <v>126.80151770732319</v>
      </c>
      <c r="M607">
        <v>605</v>
      </c>
      <c r="N607">
        <f t="shared" si="41"/>
        <v>0</v>
      </c>
      <c r="O607">
        <f ca="1">SUM($N$2:N607)/M607</f>
        <v>129.05505123643309</v>
      </c>
    </row>
    <row r="608" spans="1:15" x14ac:dyDescent="0.2">
      <c r="A608">
        <v>606</v>
      </c>
      <c r="B608" s="11">
        <f t="shared" si="38"/>
        <v>0</v>
      </c>
      <c r="C608">
        <f ca="1">SUM($B$2:B608)/A608</f>
        <v>126.59227427876324</v>
      </c>
      <c r="E608">
        <v>606</v>
      </c>
      <c r="F608" s="11">
        <f t="shared" si="39"/>
        <v>0</v>
      </c>
      <c r="G608">
        <f ca="1">SUM($F$2:F608)/E608</f>
        <v>128.84208910567992</v>
      </c>
      <c r="I608">
        <v>606</v>
      </c>
      <c r="J608">
        <f t="shared" si="40"/>
        <v>0</v>
      </c>
      <c r="K608">
        <f ca="1">SUM($J$2:J608)/I608</f>
        <v>126.59227427876324</v>
      </c>
      <c r="M608">
        <v>606</v>
      </c>
      <c r="N608">
        <f t="shared" si="41"/>
        <v>0</v>
      </c>
      <c r="O608">
        <f ca="1">SUM($N$2:N608)/M608</f>
        <v>128.84208910567992</v>
      </c>
    </row>
    <row r="609" spans="1:15" x14ac:dyDescent="0.2">
      <c r="A609">
        <v>607</v>
      </c>
      <c r="B609" s="11">
        <f t="shared" si="38"/>
        <v>0</v>
      </c>
      <c r="C609">
        <f ca="1">SUM($B$2:B609)/A609</f>
        <v>126.38372028489378</v>
      </c>
      <c r="E609">
        <v>607</v>
      </c>
      <c r="F609" s="11">
        <f t="shared" si="39"/>
        <v>0</v>
      </c>
      <c r="G609">
        <f ca="1">SUM($F$2:F609)/E609</f>
        <v>128.6298286623427</v>
      </c>
      <c r="I609">
        <v>607</v>
      </c>
      <c r="J609">
        <f t="shared" si="40"/>
        <v>0</v>
      </c>
      <c r="K609">
        <f ca="1">SUM($J$2:J609)/I609</f>
        <v>126.38372028489378</v>
      </c>
      <c r="M609">
        <v>607</v>
      </c>
      <c r="N609">
        <f t="shared" si="41"/>
        <v>0</v>
      </c>
      <c r="O609">
        <f ca="1">SUM($N$2:N609)/M609</f>
        <v>128.6298286623427</v>
      </c>
    </row>
    <row r="610" spans="1:15" x14ac:dyDescent="0.2">
      <c r="A610">
        <v>608</v>
      </c>
      <c r="B610" s="11">
        <f t="shared" si="38"/>
        <v>0</v>
      </c>
      <c r="C610">
        <f ca="1">SUM($B$2:B610)/A610</f>
        <v>126.17585232389889</v>
      </c>
      <c r="E610">
        <v>608</v>
      </c>
      <c r="F610" s="11">
        <f t="shared" si="39"/>
        <v>0</v>
      </c>
      <c r="G610">
        <f ca="1">SUM($F$2:F610)/E610</f>
        <v>128.41826644414806</v>
      </c>
      <c r="I610">
        <v>608</v>
      </c>
      <c r="J610">
        <f t="shared" si="40"/>
        <v>0</v>
      </c>
      <c r="K610">
        <f ca="1">SUM($J$2:J610)/I610</f>
        <v>126.17585232389889</v>
      </c>
      <c r="M610">
        <v>608</v>
      </c>
      <c r="N610">
        <f t="shared" si="41"/>
        <v>0</v>
      </c>
      <c r="O610">
        <f ca="1">SUM($N$2:N610)/M610</f>
        <v>128.41826644414806</v>
      </c>
    </row>
    <row r="611" spans="1:15" x14ac:dyDescent="0.2">
      <c r="A611">
        <v>609</v>
      </c>
      <c r="B611" s="11">
        <f t="shared" si="38"/>
        <v>0</v>
      </c>
      <c r="C611">
        <f ca="1">SUM($B$2:B611)/A611</f>
        <v>125.96866701630628</v>
      </c>
      <c r="E611">
        <v>609</v>
      </c>
      <c r="F611" s="11">
        <f t="shared" si="39"/>
        <v>0</v>
      </c>
      <c r="G611">
        <f ca="1">SUM($F$2:F611)/E611</f>
        <v>128.20739901156327</v>
      </c>
      <c r="I611">
        <v>609</v>
      </c>
      <c r="J611">
        <f t="shared" si="40"/>
        <v>0</v>
      </c>
      <c r="K611">
        <f ca="1">SUM($J$2:J611)/I611</f>
        <v>125.96866701630628</v>
      </c>
      <c r="M611">
        <v>609</v>
      </c>
      <c r="N611">
        <f t="shared" si="41"/>
        <v>0</v>
      </c>
      <c r="O611">
        <f ca="1">SUM($N$2:N611)/M611</f>
        <v>128.20739901156327</v>
      </c>
    </row>
    <row r="612" spans="1:15" x14ac:dyDescent="0.2">
      <c r="A612">
        <v>610</v>
      </c>
      <c r="B612" s="11">
        <f t="shared" si="38"/>
        <v>0</v>
      </c>
      <c r="C612">
        <f ca="1">SUM($B$2:B612)/A612</f>
        <v>125.76216100480414</v>
      </c>
      <c r="E612">
        <v>610</v>
      </c>
      <c r="F612" s="11">
        <f t="shared" si="39"/>
        <v>0</v>
      </c>
      <c r="G612">
        <f ca="1">SUM($F$2:F612)/E612</f>
        <v>127.99722294760987</v>
      </c>
      <c r="I612">
        <v>610</v>
      </c>
      <c r="J612">
        <f t="shared" si="40"/>
        <v>0</v>
      </c>
      <c r="K612">
        <f ca="1">SUM($J$2:J612)/I612</f>
        <v>125.76216100480414</v>
      </c>
      <c r="M612">
        <v>610</v>
      </c>
      <c r="N612">
        <f t="shared" si="41"/>
        <v>0</v>
      </c>
      <c r="O612">
        <f ca="1">SUM($N$2:N612)/M612</f>
        <v>127.99722294760987</v>
      </c>
    </row>
    <row r="613" spans="1:15" x14ac:dyDescent="0.2">
      <c r="A613">
        <v>611</v>
      </c>
      <c r="B613" s="11">
        <f t="shared" si="38"/>
        <v>0</v>
      </c>
      <c r="C613">
        <f ca="1">SUM($B$2:B613)/A613</f>
        <v>125.55633095405977</v>
      </c>
      <c r="E613">
        <v>611</v>
      </c>
      <c r="F613" s="11">
        <f t="shared" si="39"/>
        <v>0</v>
      </c>
      <c r="G613">
        <f ca="1">SUM($F$2:F613)/E613</f>
        <v>127.78773485767925</v>
      </c>
      <c r="I613">
        <v>611</v>
      </c>
      <c r="J613">
        <f t="shared" si="40"/>
        <v>0</v>
      </c>
      <c r="K613">
        <f ca="1">SUM($J$2:J613)/I613</f>
        <v>125.55633095405977</v>
      </c>
      <c r="M613">
        <v>611</v>
      </c>
      <c r="N613">
        <f t="shared" si="41"/>
        <v>0</v>
      </c>
      <c r="O613">
        <f ca="1">SUM($N$2:N613)/M613</f>
        <v>127.78773485767925</v>
      </c>
    </row>
    <row r="614" spans="1:15" x14ac:dyDescent="0.2">
      <c r="A614">
        <v>612</v>
      </c>
      <c r="B614" s="11">
        <f t="shared" si="38"/>
        <v>0</v>
      </c>
      <c r="C614">
        <f ca="1">SUM($B$2:B614)/A614</f>
        <v>125.35117355054008</v>
      </c>
      <c r="E614">
        <v>612</v>
      </c>
      <c r="F614" s="11">
        <f t="shared" si="39"/>
        <v>0</v>
      </c>
      <c r="G614">
        <f ca="1">SUM($F$2:F614)/E614</f>
        <v>127.5789313693497</v>
      </c>
      <c r="I614">
        <v>612</v>
      </c>
      <c r="J614">
        <f t="shared" si="40"/>
        <v>0</v>
      </c>
      <c r="K614">
        <f ca="1">SUM($J$2:J614)/I614</f>
        <v>125.35117355054008</v>
      </c>
      <c r="M614">
        <v>612</v>
      </c>
      <c r="N614">
        <f t="shared" si="41"/>
        <v>0</v>
      </c>
      <c r="O614">
        <f ca="1">SUM($N$2:N614)/M614</f>
        <v>127.5789313693497</v>
      </c>
    </row>
    <row r="615" spans="1:15" x14ac:dyDescent="0.2">
      <c r="A615">
        <v>613</v>
      </c>
      <c r="B615" s="11">
        <f t="shared" si="38"/>
        <v>0</v>
      </c>
      <c r="C615">
        <f ca="1">SUM($B$2:B615)/A615</f>
        <v>125.14668550233365</v>
      </c>
      <c r="E615">
        <v>613</v>
      </c>
      <c r="F615" s="11">
        <f t="shared" si="39"/>
        <v>0</v>
      </c>
      <c r="G615">
        <f ca="1">SUM($F$2:F615)/E615</f>
        <v>127.37080913220558</v>
      </c>
      <c r="I615">
        <v>613</v>
      </c>
      <c r="J615">
        <f t="shared" si="40"/>
        <v>0</v>
      </c>
      <c r="K615">
        <f ca="1">SUM($J$2:J615)/I615</f>
        <v>125.14668550233365</v>
      </c>
      <c r="M615">
        <v>613</v>
      </c>
      <c r="N615">
        <f t="shared" si="41"/>
        <v>0</v>
      </c>
      <c r="O615">
        <f ca="1">SUM($N$2:N615)/M615</f>
        <v>127.37080913220558</v>
      </c>
    </row>
    <row r="616" spans="1:15" x14ac:dyDescent="0.2">
      <c r="A616">
        <v>614</v>
      </c>
      <c r="B616" s="11">
        <f t="shared" si="38"/>
        <v>0</v>
      </c>
      <c r="C616">
        <f ca="1">SUM($B$2:B616)/A616</f>
        <v>124.94286353897481</v>
      </c>
      <c r="E616">
        <v>614</v>
      </c>
      <c r="F616" s="11">
        <f t="shared" si="39"/>
        <v>0</v>
      </c>
      <c r="G616">
        <f ca="1">SUM($F$2:F616)/E616</f>
        <v>127.16336481765802</v>
      </c>
      <c r="I616">
        <v>614</v>
      </c>
      <c r="J616">
        <f t="shared" si="40"/>
        <v>0</v>
      </c>
      <c r="K616">
        <f ca="1">SUM($J$2:J616)/I616</f>
        <v>124.94286353897481</v>
      </c>
      <c r="M616">
        <v>614</v>
      </c>
      <c r="N616">
        <f t="shared" si="41"/>
        <v>0</v>
      </c>
      <c r="O616">
        <f ca="1">SUM($N$2:N616)/M616</f>
        <v>127.16336481765802</v>
      </c>
    </row>
    <row r="617" spans="1:15" x14ac:dyDescent="0.2">
      <c r="A617">
        <v>615</v>
      </c>
      <c r="B617" s="11">
        <f t="shared" si="38"/>
        <v>0</v>
      </c>
      <c r="C617">
        <f ca="1">SUM($B$2:B617)/A617</f>
        <v>124.73970441126914</v>
      </c>
      <c r="E617">
        <v>615</v>
      </c>
      <c r="F617" s="11">
        <f t="shared" si="39"/>
        <v>0</v>
      </c>
      <c r="G617">
        <f ca="1">SUM($F$2:F617)/E617</f>
        <v>126.95659511876751</v>
      </c>
      <c r="I617">
        <v>615</v>
      </c>
      <c r="J617">
        <f t="shared" si="40"/>
        <v>0</v>
      </c>
      <c r="K617">
        <f ca="1">SUM($J$2:J617)/I617</f>
        <v>124.73970441126914</v>
      </c>
      <c r="M617">
        <v>615</v>
      </c>
      <c r="N617">
        <f t="shared" si="41"/>
        <v>0</v>
      </c>
      <c r="O617">
        <f ca="1">SUM($N$2:N617)/M617</f>
        <v>126.95659511876751</v>
      </c>
    </row>
    <row r="618" spans="1:15" x14ac:dyDescent="0.2">
      <c r="A618">
        <v>616</v>
      </c>
      <c r="B618" s="11">
        <f t="shared" si="38"/>
        <v>0</v>
      </c>
      <c r="C618">
        <f ca="1">SUM($B$2:B618)/A618</f>
        <v>124.53720489112098</v>
      </c>
      <c r="E618">
        <v>616</v>
      </c>
      <c r="F618" s="11">
        <f t="shared" si="39"/>
        <v>0</v>
      </c>
      <c r="G618">
        <f ca="1">SUM($F$2:F618)/E618</f>
        <v>126.75049675006822</v>
      </c>
      <c r="I618">
        <v>616</v>
      </c>
      <c r="J618">
        <f t="shared" si="40"/>
        <v>0</v>
      </c>
      <c r="K618">
        <f ca="1">SUM($J$2:J618)/I618</f>
        <v>124.53720489112098</v>
      </c>
      <c r="M618">
        <v>616</v>
      </c>
      <c r="N618">
        <f t="shared" si="41"/>
        <v>0</v>
      </c>
      <c r="O618">
        <f ca="1">SUM($N$2:N618)/M618</f>
        <v>126.75049675006822</v>
      </c>
    </row>
    <row r="619" spans="1:15" x14ac:dyDescent="0.2">
      <c r="A619">
        <v>617</v>
      </c>
      <c r="B619" s="11">
        <f t="shared" si="38"/>
        <v>0</v>
      </c>
      <c r="C619">
        <f ca="1">SUM($B$2:B619)/A619</f>
        <v>124.33536177136227</v>
      </c>
      <c r="E619">
        <v>617</v>
      </c>
      <c r="F619" s="11">
        <f t="shared" si="39"/>
        <v>0</v>
      </c>
      <c r="G619">
        <f ca="1">SUM($F$2:F619)/E619</f>
        <v>126.54506644739388</v>
      </c>
      <c r="I619">
        <v>617</v>
      </c>
      <c r="J619">
        <f t="shared" si="40"/>
        <v>0</v>
      </c>
      <c r="K619">
        <f ca="1">SUM($J$2:J619)/I619</f>
        <v>124.33536177136227</v>
      </c>
      <c r="M619">
        <v>617</v>
      </c>
      <c r="N619">
        <f t="shared" si="41"/>
        <v>0</v>
      </c>
      <c r="O619">
        <f ca="1">SUM($N$2:N619)/M619</f>
        <v>126.54506644739388</v>
      </c>
    </row>
    <row r="620" spans="1:15" x14ac:dyDescent="0.2">
      <c r="A620">
        <v>618</v>
      </c>
      <c r="B620" s="11">
        <f t="shared" si="38"/>
        <v>0</v>
      </c>
      <c r="C620">
        <f ca="1">SUM($B$2:B620)/A620</f>
        <v>124.13417186558338</v>
      </c>
      <c r="E620">
        <v>618</v>
      </c>
      <c r="F620" s="11">
        <f t="shared" si="39"/>
        <v>0</v>
      </c>
      <c r="G620">
        <f ca="1">SUM($F$2:F620)/E620</f>
        <v>126.34030096770553</v>
      </c>
      <c r="I620">
        <v>618</v>
      </c>
      <c r="J620">
        <f t="shared" si="40"/>
        <v>0</v>
      </c>
      <c r="K620">
        <f ca="1">SUM($J$2:J620)/I620</f>
        <v>124.13417186558338</v>
      </c>
      <c r="M620">
        <v>618</v>
      </c>
      <c r="N620">
        <f t="shared" si="41"/>
        <v>0</v>
      </c>
      <c r="O620">
        <f ca="1">SUM($N$2:N620)/M620</f>
        <v>126.34030096770553</v>
      </c>
    </row>
    <row r="621" spans="1:15" x14ac:dyDescent="0.2">
      <c r="A621">
        <v>619</v>
      </c>
      <c r="B621" s="11">
        <f t="shared" si="38"/>
        <v>0</v>
      </c>
      <c r="C621">
        <f ca="1">SUM($B$2:B621)/A621</f>
        <v>123.93363200796531</v>
      </c>
      <c r="E621">
        <v>619</v>
      </c>
      <c r="F621" s="11">
        <f t="shared" si="39"/>
        <v>0</v>
      </c>
      <c r="G621">
        <f ca="1">SUM($F$2:F621)/E621</f>
        <v>126.13619708892088</v>
      </c>
      <c r="I621">
        <v>619</v>
      </c>
      <c r="J621">
        <f t="shared" si="40"/>
        <v>0</v>
      </c>
      <c r="K621">
        <f ca="1">SUM($J$2:J621)/I621</f>
        <v>123.93363200796531</v>
      </c>
      <c r="M621">
        <v>619</v>
      </c>
      <c r="N621">
        <f t="shared" si="41"/>
        <v>0</v>
      </c>
      <c r="O621">
        <f ca="1">SUM($N$2:N621)/M621</f>
        <v>126.13619708892088</v>
      </c>
    </row>
    <row r="622" spans="1:15" x14ac:dyDescent="0.2">
      <c r="A622">
        <v>620</v>
      </c>
      <c r="B622" s="11">
        <f t="shared" si="38"/>
        <v>0</v>
      </c>
      <c r="C622">
        <f ca="1">SUM($B$2:B622)/A622</f>
        <v>123.73373905311375</v>
      </c>
      <c r="E622">
        <v>620</v>
      </c>
      <c r="F622" s="11">
        <f t="shared" si="39"/>
        <v>0</v>
      </c>
      <c r="G622">
        <f ca="1">SUM($F$2:F622)/E622</f>
        <v>125.9327516097452</v>
      </c>
      <c r="I622">
        <v>620</v>
      </c>
      <c r="J622">
        <f t="shared" si="40"/>
        <v>0</v>
      </c>
      <c r="K622">
        <f ca="1">SUM($J$2:J622)/I622</f>
        <v>123.73373905311375</v>
      </c>
      <c r="M622">
        <v>620</v>
      </c>
      <c r="N622">
        <f t="shared" si="41"/>
        <v>0</v>
      </c>
      <c r="O622">
        <f ca="1">SUM($N$2:N622)/M622</f>
        <v>125.9327516097452</v>
      </c>
    </row>
    <row r="623" spans="1:15" x14ac:dyDescent="0.2">
      <c r="A623">
        <v>621</v>
      </c>
      <c r="B623" s="11">
        <f t="shared" si="38"/>
        <v>0</v>
      </c>
      <c r="C623">
        <f ca="1">SUM($B$2:B623)/A623</f>
        <v>123.53448987589456</v>
      </c>
      <c r="E623">
        <v>621</v>
      </c>
      <c r="F623" s="11">
        <f t="shared" si="39"/>
        <v>0</v>
      </c>
      <c r="G623">
        <f ca="1">SUM($F$2:F623)/E623</f>
        <v>125.72996134950407</v>
      </c>
      <c r="I623">
        <v>621</v>
      </c>
      <c r="J623">
        <f t="shared" si="40"/>
        <v>0</v>
      </c>
      <c r="K623">
        <f ca="1">SUM($J$2:J623)/I623</f>
        <v>123.53448987589456</v>
      </c>
      <c r="M623">
        <v>621</v>
      </c>
      <c r="N623">
        <f t="shared" si="41"/>
        <v>0</v>
      </c>
      <c r="O623">
        <f ca="1">SUM($N$2:N623)/M623</f>
        <v>125.72996134950407</v>
      </c>
    </row>
    <row r="624" spans="1:15" x14ac:dyDescent="0.2">
      <c r="A624">
        <v>622</v>
      </c>
      <c r="B624" s="11">
        <f t="shared" si="38"/>
        <v>0</v>
      </c>
      <c r="C624">
        <f ca="1">SUM($B$2:B624)/A624</f>
        <v>123.33588137127094</v>
      </c>
      <c r="E624">
        <v>622</v>
      </c>
      <c r="F624" s="11">
        <f t="shared" si="39"/>
        <v>0</v>
      </c>
      <c r="G624">
        <f ca="1">SUM($F$2:F624)/E624</f>
        <v>125.52782314797753</v>
      </c>
      <c r="I624">
        <v>622</v>
      </c>
      <c r="J624">
        <f t="shared" si="40"/>
        <v>0</v>
      </c>
      <c r="K624">
        <f ca="1">SUM($J$2:J624)/I624</f>
        <v>123.33588137127094</v>
      </c>
      <c r="M624">
        <v>622</v>
      </c>
      <c r="N624">
        <f t="shared" si="41"/>
        <v>0</v>
      </c>
      <c r="O624">
        <f ca="1">SUM($N$2:N624)/M624</f>
        <v>125.52782314797753</v>
      </c>
    </row>
    <row r="625" spans="1:15" x14ac:dyDescent="0.2">
      <c r="A625">
        <v>623</v>
      </c>
      <c r="B625" s="11">
        <f t="shared" si="38"/>
        <v>0</v>
      </c>
      <c r="C625">
        <f ca="1">SUM($B$2:B625)/A625</f>
        <v>123.1379104541421</v>
      </c>
      <c r="E625">
        <v>623</v>
      </c>
      <c r="F625" s="11">
        <f t="shared" si="39"/>
        <v>0</v>
      </c>
      <c r="G625">
        <f ca="1">SUM($F$2:F625)/E625</f>
        <v>125.32633386523599</v>
      </c>
      <c r="I625">
        <v>623</v>
      </c>
      <c r="J625">
        <f t="shared" si="40"/>
        <v>0</v>
      </c>
      <c r="K625">
        <f ca="1">SUM($J$2:J625)/I625</f>
        <v>123.1379104541421</v>
      </c>
      <c r="M625">
        <v>623</v>
      </c>
      <c r="N625">
        <f t="shared" si="41"/>
        <v>0</v>
      </c>
      <c r="O625">
        <f ca="1">SUM($N$2:N625)/M625</f>
        <v>125.32633386523599</v>
      </c>
    </row>
    <row r="626" spans="1:15" x14ac:dyDescent="0.2">
      <c r="A626">
        <v>624</v>
      </c>
      <c r="B626" s="11">
        <f t="shared" si="38"/>
        <v>0</v>
      </c>
      <c r="C626">
        <f ca="1">SUM($B$2:B626)/A626</f>
        <v>122.94057405918353</v>
      </c>
      <c r="E626">
        <v>624</v>
      </c>
      <c r="F626" s="11">
        <f t="shared" si="39"/>
        <v>0</v>
      </c>
      <c r="G626">
        <f ca="1">SUM($F$2:F626)/E626</f>
        <v>125.1254903814776</v>
      </c>
      <c r="I626">
        <v>624</v>
      </c>
      <c r="J626">
        <f t="shared" si="40"/>
        <v>0</v>
      </c>
      <c r="K626">
        <f ca="1">SUM($J$2:J626)/I626</f>
        <v>122.94057405918353</v>
      </c>
      <c r="M626">
        <v>624</v>
      </c>
      <c r="N626">
        <f t="shared" si="41"/>
        <v>0</v>
      </c>
      <c r="O626">
        <f ca="1">SUM($N$2:N626)/M626</f>
        <v>125.1254903814776</v>
      </c>
    </row>
    <row r="627" spans="1:15" x14ac:dyDescent="0.2">
      <c r="A627">
        <v>625</v>
      </c>
      <c r="B627" s="11">
        <f t="shared" si="38"/>
        <v>0</v>
      </c>
      <c r="C627">
        <f ca="1">SUM($B$2:B627)/A627</f>
        <v>122.74386914068884</v>
      </c>
      <c r="E627">
        <v>625</v>
      </c>
      <c r="F627" s="11">
        <f t="shared" si="39"/>
        <v>0</v>
      </c>
      <c r="G627">
        <f ca="1">SUM($F$2:F627)/E627</f>
        <v>124.92528959686723</v>
      </c>
      <c r="I627">
        <v>625</v>
      </c>
      <c r="J627">
        <f t="shared" si="40"/>
        <v>0</v>
      </c>
      <c r="K627">
        <f ca="1">SUM($J$2:J627)/I627</f>
        <v>122.74386914068884</v>
      </c>
      <c r="M627">
        <v>625</v>
      </c>
      <c r="N627">
        <f t="shared" si="41"/>
        <v>0</v>
      </c>
      <c r="O627">
        <f ca="1">SUM($N$2:N627)/M627</f>
        <v>124.92528959686723</v>
      </c>
    </row>
    <row r="628" spans="1:15" x14ac:dyDescent="0.2">
      <c r="A628">
        <v>626</v>
      </c>
      <c r="B628" s="11">
        <f t="shared" si="38"/>
        <v>0</v>
      </c>
      <c r="C628">
        <f ca="1">SUM($B$2:B628)/A628</f>
        <v>122.54779267241298</v>
      </c>
      <c r="E628">
        <v>626</v>
      </c>
      <c r="F628" s="11">
        <f t="shared" si="39"/>
        <v>0</v>
      </c>
      <c r="G628">
        <f ca="1">SUM($F$2:F628)/E628</f>
        <v>124.72572843137704</v>
      </c>
      <c r="I628">
        <v>626</v>
      </c>
      <c r="J628">
        <f t="shared" si="40"/>
        <v>0</v>
      </c>
      <c r="K628">
        <f ca="1">SUM($J$2:J628)/I628</f>
        <v>122.54779267241298</v>
      </c>
      <c r="M628">
        <v>626</v>
      </c>
      <c r="N628">
        <f t="shared" si="41"/>
        <v>0</v>
      </c>
      <c r="O628">
        <f ca="1">SUM($N$2:N628)/M628</f>
        <v>124.72572843137704</v>
      </c>
    </row>
    <row r="629" spans="1:15" x14ac:dyDescent="0.2">
      <c r="A629">
        <v>627</v>
      </c>
      <c r="B629" s="11">
        <f t="shared" si="38"/>
        <v>0</v>
      </c>
      <c r="C629">
        <f ca="1">SUM($B$2:B629)/A629</f>
        <v>122.35234164741711</v>
      </c>
      <c r="E629">
        <v>627</v>
      </c>
      <c r="F629" s="11">
        <f t="shared" si="39"/>
        <v>0</v>
      </c>
      <c r="G629">
        <f ca="1">SUM($F$2:F629)/E629</f>
        <v>124.52680382462843</v>
      </c>
      <c r="I629">
        <v>627</v>
      </c>
      <c r="J629">
        <f t="shared" si="40"/>
        <v>0</v>
      </c>
      <c r="K629">
        <f ca="1">SUM($J$2:J629)/I629</f>
        <v>122.35234164741711</v>
      </c>
      <c r="M629">
        <v>627</v>
      </c>
      <c r="N629">
        <f t="shared" si="41"/>
        <v>0</v>
      </c>
      <c r="O629">
        <f ca="1">SUM($N$2:N629)/M629</f>
        <v>124.52680382462843</v>
      </c>
    </row>
    <row r="630" spans="1:15" x14ac:dyDescent="0.2">
      <c r="A630">
        <v>628</v>
      </c>
      <c r="B630" s="11">
        <f t="shared" si="38"/>
        <v>0</v>
      </c>
      <c r="C630">
        <f ca="1">SUM($B$2:B630)/A630</f>
        <v>122.15751307791486</v>
      </c>
      <c r="E630">
        <v>628</v>
      </c>
      <c r="F630" s="11">
        <f t="shared" si="39"/>
        <v>0</v>
      </c>
      <c r="G630">
        <f ca="1">SUM($F$2:F630)/E630</f>
        <v>124.3285127357357</v>
      </c>
      <c r="I630">
        <v>628</v>
      </c>
      <c r="J630">
        <f t="shared" si="40"/>
        <v>0</v>
      </c>
      <c r="K630">
        <f ca="1">SUM($J$2:J630)/I630</f>
        <v>122.15751307791486</v>
      </c>
      <c r="M630">
        <v>628</v>
      </c>
      <c r="N630">
        <f t="shared" si="41"/>
        <v>0</v>
      </c>
      <c r="O630">
        <f ca="1">SUM($N$2:N630)/M630</f>
        <v>124.3285127357357</v>
      </c>
    </row>
    <row r="631" spans="1:15" x14ac:dyDescent="0.2">
      <c r="A631">
        <v>629</v>
      </c>
      <c r="B631" s="11">
        <f t="shared" si="38"/>
        <v>0</v>
      </c>
      <c r="C631">
        <f ca="1">SUM($B$2:B631)/A631</f>
        <v>121.96330399512007</v>
      </c>
      <c r="E631">
        <v>629</v>
      </c>
      <c r="F631" s="11">
        <f t="shared" si="39"/>
        <v>0</v>
      </c>
      <c r="G631">
        <f ca="1">SUM($F$2:F631)/E631</f>
        <v>124.13085214315107</v>
      </c>
      <c r="I631">
        <v>629</v>
      </c>
      <c r="J631">
        <f t="shared" si="40"/>
        <v>0</v>
      </c>
      <c r="K631">
        <f ca="1">SUM($J$2:J631)/I631</f>
        <v>121.96330399512007</v>
      </c>
      <c r="M631">
        <v>629</v>
      </c>
      <c r="N631">
        <f t="shared" si="41"/>
        <v>0</v>
      </c>
      <c r="O631">
        <f ca="1">SUM($N$2:N631)/M631</f>
        <v>124.13085214315107</v>
      </c>
    </row>
    <row r="632" spans="1:15" x14ac:dyDescent="0.2">
      <c r="A632">
        <v>630</v>
      </c>
      <c r="B632" s="11">
        <f t="shared" si="38"/>
        <v>0</v>
      </c>
      <c r="C632">
        <f ca="1">SUM($B$2:B632)/A632</f>
        <v>121.76971144909608</v>
      </c>
      <c r="E632">
        <v>630</v>
      </c>
      <c r="F632" s="11">
        <f t="shared" si="39"/>
        <v>0</v>
      </c>
      <c r="G632">
        <f ca="1">SUM($F$2:F632)/E632</f>
        <v>123.93381904451114</v>
      </c>
      <c r="I632">
        <v>630</v>
      </c>
      <c r="J632">
        <f t="shared" si="40"/>
        <v>0</v>
      </c>
      <c r="K632">
        <f ca="1">SUM($J$2:J632)/I632</f>
        <v>121.76971144909608</v>
      </c>
      <c r="M632">
        <v>630</v>
      </c>
      <c r="N632">
        <f t="shared" si="41"/>
        <v>0</v>
      </c>
      <c r="O632">
        <f ca="1">SUM($N$2:N632)/M632</f>
        <v>123.93381904451114</v>
      </c>
    </row>
    <row r="633" spans="1:15" x14ac:dyDescent="0.2">
      <c r="A633">
        <v>631</v>
      </c>
      <c r="B633" s="11">
        <f t="shared" si="38"/>
        <v>0</v>
      </c>
      <c r="C633">
        <f ca="1">SUM($B$2:B633)/A633</f>
        <v>121.57673250860623</v>
      </c>
      <c r="E633">
        <v>631</v>
      </c>
      <c r="F633" s="11">
        <f t="shared" si="39"/>
        <v>0</v>
      </c>
      <c r="G633">
        <f ca="1">SUM($F$2:F633)/E633</f>
        <v>123.73741045648498</v>
      </c>
      <c r="I633">
        <v>631</v>
      </c>
      <c r="J633">
        <f t="shared" si="40"/>
        <v>0</v>
      </c>
      <c r="K633">
        <f ca="1">SUM($J$2:J633)/I633</f>
        <v>121.57673250860623</v>
      </c>
      <c r="M633">
        <v>631</v>
      </c>
      <c r="N633">
        <f t="shared" si="41"/>
        <v>0</v>
      </c>
      <c r="O633">
        <f ca="1">SUM($N$2:N633)/M633</f>
        <v>123.73741045648498</v>
      </c>
    </row>
    <row r="634" spans="1:15" x14ac:dyDescent="0.2">
      <c r="A634">
        <v>632</v>
      </c>
      <c r="B634" s="11">
        <f t="shared" si="38"/>
        <v>0</v>
      </c>
      <c r="C634">
        <f ca="1">SUM($B$2:B634)/A634</f>
        <v>121.38436426096602</v>
      </c>
      <c r="E634">
        <v>632</v>
      </c>
      <c r="F634" s="11">
        <f t="shared" si="39"/>
        <v>0</v>
      </c>
      <c r="G634">
        <f ca="1">SUM($F$2:F634)/E634</f>
        <v>123.54162341462346</v>
      </c>
      <c r="I634">
        <v>632</v>
      </c>
      <c r="J634">
        <f t="shared" si="40"/>
        <v>0</v>
      </c>
      <c r="K634">
        <f ca="1">SUM($J$2:J634)/I634</f>
        <v>121.38436426096602</v>
      </c>
      <c r="M634">
        <v>632</v>
      </c>
      <c r="N634">
        <f t="shared" si="41"/>
        <v>0</v>
      </c>
      <c r="O634">
        <f ca="1">SUM($N$2:N634)/M634</f>
        <v>123.54162341462346</v>
      </c>
    </row>
    <row r="635" spans="1:15" x14ac:dyDescent="0.2">
      <c r="A635">
        <v>633</v>
      </c>
      <c r="B635" s="11">
        <f t="shared" si="38"/>
        <v>0</v>
      </c>
      <c r="C635">
        <f ca="1">SUM($B$2:B635)/A635</f>
        <v>121.19260381189656</v>
      </c>
      <c r="E635">
        <v>633</v>
      </c>
      <c r="F635" s="11">
        <f t="shared" si="39"/>
        <v>0</v>
      </c>
      <c r="G635">
        <f ca="1">SUM($F$2:F635)/E635</f>
        <v>123.34645497321014</v>
      </c>
      <c r="I635">
        <v>633</v>
      </c>
      <c r="J635">
        <f t="shared" si="40"/>
        <v>0</v>
      </c>
      <c r="K635">
        <f ca="1">SUM($J$2:J635)/I635</f>
        <v>121.19260381189656</v>
      </c>
      <c r="M635">
        <v>633</v>
      </c>
      <c r="N635">
        <f t="shared" si="41"/>
        <v>0</v>
      </c>
      <c r="O635">
        <f ca="1">SUM($N$2:N635)/M635</f>
        <v>123.34645497321014</v>
      </c>
    </row>
    <row r="636" spans="1:15" x14ac:dyDescent="0.2">
      <c r="A636">
        <v>634</v>
      </c>
      <c r="B636" s="11">
        <f t="shared" si="38"/>
        <v>0</v>
      </c>
      <c r="C636">
        <f ca="1">SUM($B$2:B636)/A636</f>
        <v>121.00144828537938</v>
      </c>
      <c r="E636">
        <v>634</v>
      </c>
      <c r="F636" s="11">
        <f t="shared" si="39"/>
        <v>0</v>
      </c>
      <c r="G636">
        <f ca="1">SUM($F$2:F636)/E636</f>
        <v>123.1519022051136</v>
      </c>
      <c r="I636">
        <v>634</v>
      </c>
      <c r="J636">
        <f t="shared" si="40"/>
        <v>0</v>
      </c>
      <c r="K636">
        <f ca="1">SUM($J$2:J636)/I636</f>
        <v>121.00144828537938</v>
      </c>
      <c r="M636">
        <v>634</v>
      </c>
      <c r="N636">
        <f t="shared" si="41"/>
        <v>0</v>
      </c>
      <c r="O636">
        <f ca="1">SUM($N$2:N636)/M636</f>
        <v>123.1519022051136</v>
      </c>
    </row>
    <row r="637" spans="1:15" x14ac:dyDescent="0.2">
      <c r="A637">
        <v>635</v>
      </c>
      <c r="B637" s="11">
        <f t="shared" si="38"/>
        <v>0</v>
      </c>
      <c r="C637">
        <f ca="1">SUM($B$2:B637)/A637</f>
        <v>120.81089482351264</v>
      </c>
      <c r="E637">
        <v>635</v>
      </c>
      <c r="F637" s="11">
        <f t="shared" si="39"/>
        <v>0</v>
      </c>
      <c r="G637">
        <f ca="1">SUM($F$2:F637)/E637</f>
        <v>122.95796220164098</v>
      </c>
      <c r="I637">
        <v>635</v>
      </c>
      <c r="J637">
        <f t="shared" si="40"/>
        <v>0</v>
      </c>
      <c r="K637">
        <f ca="1">SUM($J$2:J637)/I637</f>
        <v>120.81089482351264</v>
      </c>
      <c r="M637">
        <v>635</v>
      </c>
      <c r="N637">
        <f t="shared" si="41"/>
        <v>0</v>
      </c>
      <c r="O637">
        <f ca="1">SUM($N$2:N637)/M637</f>
        <v>122.95796220164098</v>
      </c>
    </row>
    <row r="638" spans="1:15" x14ac:dyDescent="0.2">
      <c r="A638">
        <v>636</v>
      </c>
      <c r="B638" s="11">
        <f t="shared" si="38"/>
        <v>0</v>
      </c>
      <c r="C638">
        <f ca="1">SUM($B$2:B638)/A638</f>
        <v>120.62094058636875</v>
      </c>
      <c r="E638">
        <v>636</v>
      </c>
      <c r="F638" s="11">
        <f t="shared" si="39"/>
        <v>0</v>
      </c>
      <c r="G638">
        <f ca="1">SUM($F$2:F638)/E638</f>
        <v>122.76463207239311</v>
      </c>
      <c r="I638">
        <v>636</v>
      </c>
      <c r="J638">
        <f t="shared" si="40"/>
        <v>0</v>
      </c>
      <c r="K638">
        <f ca="1">SUM($J$2:J638)/I638</f>
        <v>120.62094058636875</v>
      </c>
      <c r="M638">
        <v>636</v>
      </c>
      <c r="N638">
        <f t="shared" si="41"/>
        <v>0</v>
      </c>
      <c r="O638">
        <f ca="1">SUM($N$2:N638)/M638</f>
        <v>122.76463207239311</v>
      </c>
    </row>
    <row r="639" spans="1:15" x14ac:dyDescent="0.2">
      <c r="A639">
        <v>637</v>
      </c>
      <c r="B639" s="11">
        <f t="shared" si="38"/>
        <v>0</v>
      </c>
      <c r="C639">
        <f ca="1">SUM($B$2:B639)/A639</f>
        <v>120.43158275185326</v>
      </c>
      <c r="E639">
        <v>637</v>
      </c>
      <c r="F639" s="11">
        <f t="shared" si="39"/>
        <v>0</v>
      </c>
      <c r="G639">
        <f ca="1">SUM($F$2:F639)/E639</f>
        <v>122.57190894512091</v>
      </c>
      <c r="I639">
        <v>637</v>
      </c>
      <c r="J639">
        <f t="shared" si="40"/>
        <v>0</v>
      </c>
      <c r="K639">
        <f ca="1">SUM($J$2:J639)/I639</f>
        <v>120.43158275185326</v>
      </c>
      <c r="M639">
        <v>637</v>
      </c>
      <c r="N639">
        <f t="shared" si="41"/>
        <v>0</v>
      </c>
      <c r="O639">
        <f ca="1">SUM($N$2:N639)/M639</f>
        <v>122.57190894512091</v>
      </c>
    </row>
    <row r="640" spans="1:15" x14ac:dyDescent="0.2">
      <c r="A640">
        <v>638</v>
      </c>
      <c r="B640" s="11">
        <f t="shared" si="38"/>
        <v>0</v>
      </c>
      <c r="C640">
        <f ca="1">SUM($B$2:B640)/A640</f>
        <v>120.24281851556509</v>
      </c>
      <c r="E640">
        <v>638</v>
      </c>
      <c r="F640" s="11">
        <f t="shared" si="39"/>
        <v>0</v>
      </c>
      <c r="G640">
        <f ca="1">SUM($F$2:F640)/E640</f>
        <v>122.3797899655831</v>
      </c>
      <c r="I640">
        <v>638</v>
      </c>
      <c r="J640">
        <f t="shared" si="40"/>
        <v>0</v>
      </c>
      <c r="K640">
        <f ca="1">SUM($J$2:J640)/I640</f>
        <v>120.24281851556509</v>
      </c>
      <c r="M640">
        <v>638</v>
      </c>
      <c r="N640">
        <f t="shared" si="41"/>
        <v>0</v>
      </c>
      <c r="O640">
        <f ca="1">SUM($N$2:N640)/M640</f>
        <v>122.3797899655831</v>
      </c>
    </row>
    <row r="641" spans="1:15" x14ac:dyDescent="0.2">
      <c r="A641">
        <v>639</v>
      </c>
      <c r="B641" s="11">
        <f t="shared" si="38"/>
        <v>0</v>
      </c>
      <c r="C641">
        <f ca="1">SUM($B$2:B641)/A641</f>
        <v>120.0546450906581</v>
      </c>
      <c r="E641">
        <v>639</v>
      </c>
      <c r="F641" s="11">
        <f t="shared" si="39"/>
        <v>0</v>
      </c>
      <c r="G641">
        <f ca="1">SUM($F$2:F641)/E641</f>
        <v>122.18827229740536</v>
      </c>
      <c r="I641">
        <v>639</v>
      </c>
      <c r="J641">
        <f t="shared" si="40"/>
        <v>0</v>
      </c>
      <c r="K641">
        <f ca="1">SUM($J$2:J641)/I641</f>
        <v>120.0546450906581</v>
      </c>
      <c r="M641">
        <v>639</v>
      </c>
      <c r="N641">
        <f t="shared" si="41"/>
        <v>0</v>
      </c>
      <c r="O641">
        <f ca="1">SUM($N$2:N641)/M641</f>
        <v>122.18827229740536</v>
      </c>
    </row>
    <row r="642" spans="1:15" x14ac:dyDescent="0.2">
      <c r="A642">
        <v>640</v>
      </c>
      <c r="B642" s="11">
        <f t="shared" si="38"/>
        <v>0</v>
      </c>
      <c r="C642">
        <f ca="1">SUM($B$2:B642)/A642</f>
        <v>119.86705970770394</v>
      </c>
      <c r="E642">
        <v>640</v>
      </c>
      <c r="F642" s="11">
        <f t="shared" si="39"/>
        <v>0</v>
      </c>
      <c r="G642">
        <f ca="1">SUM($F$2:F642)/E642</f>
        <v>121.99735312194066</v>
      </c>
      <c r="I642">
        <v>640</v>
      </c>
      <c r="J642">
        <f t="shared" si="40"/>
        <v>0</v>
      </c>
      <c r="K642">
        <f ca="1">SUM($J$2:J642)/I642</f>
        <v>119.86705970770394</v>
      </c>
      <c r="M642">
        <v>640</v>
      </c>
      <c r="N642">
        <f t="shared" si="41"/>
        <v>0</v>
      </c>
      <c r="O642">
        <f ca="1">SUM($N$2:N642)/M642</f>
        <v>121.99735312194066</v>
      </c>
    </row>
    <row r="643" spans="1:15" x14ac:dyDescent="0.2">
      <c r="A643">
        <v>641</v>
      </c>
      <c r="B643" s="11">
        <f t="shared" ref="B643:B706" si="42">IF(ARCap-IF((A643-IF(A643/180&gt;1,ROUNDDOWN(A643/180,0)*180,0))/30&lt;=1,IF(200*15*BaseSpeed/60*(YellowConnects+WhiteMHConnects+WhiteOHConnects+HoJConnects+WindfuryConnects+SSConnects+IronfoeConnects)*(A643-180*ROUNDDOWN(A643/180,0))&gt;1200,1200,200*15*BaseSpeed/60*(YellowConnects+WhiteMHConnects+WhiteOHConnects+HoJConnects+WindfuryConnects+SSConnects+IronfoeConnects)*(A643-180*ROUNDDOWN(A643/180,0))),0)&lt;0,ARCap,IF((A643-IF(A643/180&gt;1,ROUNDDOWN(A642/180,0)*180,0))/30&lt;=1,IF(200*15*BaseSpeed/60*(YellowConnects+WhiteMHConnects+WhiteOHConnects+HoJConnects+WindfuryConnects+SSConnects+IronfoeConnects)*(A643-180*ROUNDDOWN(A643/180,0))&gt;1200,1200,200*15*BaseSpeed/60*(YellowConnects+WhiteMHConnects+WhiteOHConnects+HoJConnects+WindfuryConnects+SSConnects+IronfoeConnects)*(A643-180*ROUNDDOWN(A643/180,0))),0))</f>
        <v>0</v>
      </c>
      <c r="C643">
        <f ca="1">SUM($B$2:B643)/A643</f>
        <v>119.6800596145562</v>
      </c>
      <c r="E643">
        <v>641</v>
      </c>
      <c r="F643" s="11">
        <f t="shared" ref="F643:F706" si="43">IF(ARCap-IF((A643-IF(A643/180&gt;1,ROUNDDOWN(A643/180,0)*180,0))/30&lt;=1,IF(200*15*BaseSpeed/60*(YellowConnects20+WhiteMHConnects20+WhiteOHConnects20+HoJConnects20+WindfuryConnects20+SSConnects20+IronfoeConnects20)*(A643-180*ROUNDDOWN(A643/180,0))&gt;1200,1200,200*15*BaseSpeed/60*(YellowConnects20+WhiteMHConnects20+WhiteOHConnects20+HoJConnects20+WindfuryConnects20+SSConnects20+IronfoeConnects20)*(A643-180*ROUNDDOWN(A643/180,0))),0)&lt;0,ARCap,IF((A643-IF(A643/180&gt;1,ROUNDDOWN(A643/180,0)*180,0))/30&lt;=1,IF(200*15*BaseSpeed/60*(YellowConnects20+WhiteMHConnects20+WhiteOHConnects20+HoJConnects20+WindfuryConnects20+SSConnects20+IronfoeConnects20)*(A643-180*ROUNDDOWN(A643/180,0))&gt;1200,1200,200*15*BaseSpeed/60*(YellowConnects20+WhiteMHConnects20+WhiteOHConnects20+HoJConnects20+WindfuryConnects20+SSConnects20+IronfoeConnects20)*(A643-180*ROUNDDOWN(A643/180,0))),0))</f>
        <v>0</v>
      </c>
      <c r="G643">
        <f ca="1">SUM($F$2:F643)/E643</f>
        <v>121.80702963813108</v>
      </c>
      <c r="I643">
        <v>641</v>
      </c>
      <c r="J643">
        <f t="shared" ref="J643:J706" si="44">IF(ARCap-(B643+BRE)&lt;0,ARCap,B643+BRE)</f>
        <v>0</v>
      </c>
      <c r="K643">
        <f ca="1">SUM($J$2:J643)/I643</f>
        <v>119.6800596145562</v>
      </c>
      <c r="M643">
        <v>641</v>
      </c>
      <c r="N643">
        <f t="shared" ref="N643:N706" si="45">IF(ARCap-(F643+BREArmorReduction20)&lt;0,ARCap,F643+BREArmorReduction20)</f>
        <v>0</v>
      </c>
      <c r="O643">
        <f ca="1">SUM($N$2:N643)/M643</f>
        <v>121.80702963813108</v>
      </c>
    </row>
    <row r="644" spans="1:15" x14ac:dyDescent="0.2">
      <c r="A644">
        <v>642</v>
      </c>
      <c r="B644" s="11">
        <f t="shared" si="42"/>
        <v>0</v>
      </c>
      <c r="C644">
        <f ca="1">SUM($B$2:B644)/A644</f>
        <v>119.49364207621578</v>
      </c>
      <c r="E644">
        <v>642</v>
      </c>
      <c r="F644" s="11">
        <f t="shared" si="43"/>
        <v>0</v>
      </c>
      <c r="G644">
        <f ca="1">SUM($F$2:F644)/E644</f>
        <v>121.61729906237075</v>
      </c>
      <c r="I644">
        <v>642</v>
      </c>
      <c r="J644">
        <f t="shared" si="44"/>
        <v>0</v>
      </c>
      <c r="K644">
        <f ca="1">SUM($J$2:J644)/I644</f>
        <v>119.49364207621578</v>
      </c>
      <c r="M644">
        <v>642</v>
      </c>
      <c r="N644">
        <f t="shared" si="45"/>
        <v>0</v>
      </c>
      <c r="O644">
        <f ca="1">SUM($N$2:N644)/M644</f>
        <v>121.61729906237075</v>
      </c>
    </row>
    <row r="645" spans="1:15" x14ac:dyDescent="0.2">
      <c r="A645">
        <v>643</v>
      </c>
      <c r="B645" s="11">
        <f t="shared" si="42"/>
        <v>0</v>
      </c>
      <c r="C645">
        <f ca="1">SUM($B$2:B645)/A645</f>
        <v>119.30780437469755</v>
      </c>
      <c r="E645">
        <v>643</v>
      </c>
      <c r="F645" s="11">
        <f t="shared" si="43"/>
        <v>0</v>
      </c>
      <c r="G645">
        <f ca="1">SUM($F$2:F645)/E645</f>
        <v>121.42815862837017</v>
      </c>
      <c r="I645">
        <v>643</v>
      </c>
      <c r="J645">
        <f t="shared" si="44"/>
        <v>0</v>
      </c>
      <c r="K645">
        <f ca="1">SUM($J$2:J645)/I645</f>
        <v>119.30780437469755</v>
      </c>
      <c r="M645">
        <v>643</v>
      </c>
      <c r="N645">
        <f t="shared" si="45"/>
        <v>0</v>
      </c>
      <c r="O645">
        <f ca="1">SUM($N$2:N645)/M645</f>
        <v>121.42815862837017</v>
      </c>
    </row>
    <row r="646" spans="1:15" x14ac:dyDescent="0.2">
      <c r="A646">
        <v>644</v>
      </c>
      <c r="B646" s="11">
        <f t="shared" si="42"/>
        <v>0</v>
      </c>
      <c r="C646">
        <f ca="1">SUM($B$2:B646)/A646</f>
        <v>119.12254380889833</v>
      </c>
      <c r="E646">
        <v>644</v>
      </c>
      <c r="F646" s="11">
        <f t="shared" si="43"/>
        <v>0</v>
      </c>
      <c r="G646">
        <f ca="1">SUM($F$2:F646)/E646</f>
        <v>121.23960558702177</v>
      </c>
      <c r="I646">
        <v>644</v>
      </c>
      <c r="J646">
        <f t="shared" si="44"/>
        <v>0</v>
      </c>
      <c r="K646">
        <f ca="1">SUM($J$2:J646)/I646</f>
        <v>119.12254380889833</v>
      </c>
      <c r="M646">
        <v>644</v>
      </c>
      <c r="N646">
        <f t="shared" si="45"/>
        <v>0</v>
      </c>
      <c r="O646">
        <f ca="1">SUM($N$2:N646)/M646</f>
        <v>121.23960558702177</v>
      </c>
    </row>
    <row r="647" spans="1:15" x14ac:dyDescent="0.2">
      <c r="A647">
        <v>645</v>
      </c>
      <c r="B647" s="11">
        <f t="shared" si="42"/>
        <v>0</v>
      </c>
      <c r="C647">
        <f ca="1">SUM($B$2:B647)/A647</f>
        <v>118.93785769446593</v>
      </c>
      <c r="E647">
        <v>645</v>
      </c>
      <c r="F647" s="11">
        <f t="shared" si="43"/>
        <v>0</v>
      </c>
      <c r="G647">
        <f ca="1">SUM($F$2:F647)/E647</f>
        <v>121.0516372062667</v>
      </c>
      <c r="I647">
        <v>645</v>
      </c>
      <c r="J647">
        <f t="shared" si="44"/>
        <v>0</v>
      </c>
      <c r="K647">
        <f ca="1">SUM($J$2:J647)/I647</f>
        <v>118.93785769446593</v>
      </c>
      <c r="M647">
        <v>645</v>
      </c>
      <c r="N647">
        <f t="shared" si="45"/>
        <v>0</v>
      </c>
      <c r="O647">
        <f ca="1">SUM($N$2:N647)/M647</f>
        <v>121.0516372062667</v>
      </c>
    </row>
    <row r="648" spans="1:15" x14ac:dyDescent="0.2">
      <c r="A648">
        <v>646</v>
      </c>
      <c r="B648" s="11">
        <f t="shared" si="42"/>
        <v>0</v>
      </c>
      <c r="C648">
        <f ca="1">SUM($B$2:B648)/A648</f>
        <v>118.75374336366954</v>
      </c>
      <c r="E648">
        <v>646</v>
      </c>
      <c r="F648" s="11">
        <f t="shared" si="43"/>
        <v>0</v>
      </c>
      <c r="G648">
        <f ca="1">SUM($F$2:F648)/E648</f>
        <v>120.86425077096288</v>
      </c>
      <c r="I648">
        <v>646</v>
      </c>
      <c r="J648">
        <f t="shared" si="44"/>
        <v>0</v>
      </c>
      <c r="K648">
        <f ca="1">SUM($J$2:J648)/I648</f>
        <v>118.75374336366954</v>
      </c>
      <c r="M648">
        <v>646</v>
      </c>
      <c r="N648">
        <f t="shared" si="45"/>
        <v>0</v>
      </c>
      <c r="O648">
        <f ca="1">SUM($N$2:N648)/M648</f>
        <v>120.86425077096288</v>
      </c>
    </row>
    <row r="649" spans="1:15" x14ac:dyDescent="0.2">
      <c r="A649">
        <v>647</v>
      </c>
      <c r="B649" s="11">
        <f t="shared" si="42"/>
        <v>0</v>
      </c>
      <c r="C649">
        <f ca="1">SUM($B$2:B649)/A649</f>
        <v>118.57019816527129</v>
      </c>
      <c r="E649">
        <v>647</v>
      </c>
      <c r="F649" s="11">
        <f t="shared" si="43"/>
        <v>0</v>
      </c>
      <c r="G649">
        <f ca="1">SUM($F$2:F649)/E649</f>
        <v>120.67744358275428</v>
      </c>
      <c r="I649">
        <v>647</v>
      </c>
      <c r="J649">
        <f t="shared" si="44"/>
        <v>0</v>
      </c>
      <c r="K649">
        <f ca="1">SUM($J$2:J649)/I649</f>
        <v>118.57019816527129</v>
      </c>
      <c r="M649">
        <v>647</v>
      </c>
      <c r="N649">
        <f t="shared" si="45"/>
        <v>0</v>
      </c>
      <c r="O649">
        <f ca="1">SUM($N$2:N649)/M649</f>
        <v>120.67744358275428</v>
      </c>
    </row>
    <row r="650" spans="1:15" x14ac:dyDescent="0.2">
      <c r="A650">
        <v>648</v>
      </c>
      <c r="B650" s="11">
        <f t="shared" si="42"/>
        <v>0</v>
      </c>
      <c r="C650">
        <f ca="1">SUM($B$2:B650)/A650</f>
        <v>118.38721946439897</v>
      </c>
      <c r="E650">
        <v>648</v>
      </c>
      <c r="F650" s="11">
        <f t="shared" si="43"/>
        <v>0</v>
      </c>
      <c r="G650">
        <f ca="1">SUM($F$2:F650)/E650</f>
        <v>120.49121295994139</v>
      </c>
      <c r="I650">
        <v>648</v>
      </c>
      <c r="J650">
        <f t="shared" si="44"/>
        <v>0</v>
      </c>
      <c r="K650">
        <f ca="1">SUM($J$2:J650)/I650</f>
        <v>118.38721946439897</v>
      </c>
      <c r="M650">
        <v>648</v>
      </c>
      <c r="N650">
        <f t="shared" si="45"/>
        <v>0</v>
      </c>
      <c r="O650">
        <f ca="1">SUM($N$2:N650)/M650</f>
        <v>120.49121295994139</v>
      </c>
    </row>
    <row r="651" spans="1:15" x14ac:dyDescent="0.2">
      <c r="A651">
        <v>649</v>
      </c>
      <c r="B651" s="11">
        <f t="shared" si="42"/>
        <v>0</v>
      </c>
      <c r="C651">
        <f ca="1">SUM($B$2:B651)/A651</f>
        <v>118.20480464241992</v>
      </c>
      <c r="E651">
        <v>649</v>
      </c>
      <c r="F651" s="11">
        <f t="shared" si="43"/>
        <v>0</v>
      </c>
      <c r="G651">
        <f ca="1">SUM($F$2:F651)/E651</f>
        <v>120.30555623735289</v>
      </c>
      <c r="I651">
        <v>649</v>
      </c>
      <c r="J651">
        <f t="shared" si="44"/>
        <v>0</v>
      </c>
      <c r="K651">
        <f ca="1">SUM($J$2:J651)/I651</f>
        <v>118.20480464241992</v>
      </c>
      <c r="M651">
        <v>649</v>
      </c>
      <c r="N651">
        <f t="shared" si="45"/>
        <v>0</v>
      </c>
      <c r="O651">
        <f ca="1">SUM($N$2:N651)/M651</f>
        <v>120.30555623735289</v>
      </c>
    </row>
    <row r="652" spans="1:15" x14ac:dyDescent="0.2">
      <c r="A652">
        <v>650</v>
      </c>
      <c r="B652" s="11">
        <f t="shared" si="42"/>
        <v>0</v>
      </c>
      <c r="C652">
        <f ca="1">SUM($B$2:B652)/A652</f>
        <v>118.0229510968162</v>
      </c>
      <c r="E652">
        <v>650</v>
      </c>
      <c r="F652" s="11">
        <f t="shared" si="43"/>
        <v>0</v>
      </c>
      <c r="G652">
        <f ca="1">SUM($F$2:F652)/E652</f>
        <v>120.12047076621849</v>
      </c>
      <c r="I652">
        <v>650</v>
      </c>
      <c r="J652">
        <f t="shared" si="44"/>
        <v>0</v>
      </c>
      <c r="K652">
        <f ca="1">SUM($J$2:J652)/I652</f>
        <v>118.0229510968162</v>
      </c>
      <c r="M652">
        <v>650</v>
      </c>
      <c r="N652">
        <f t="shared" si="45"/>
        <v>0</v>
      </c>
      <c r="O652">
        <f ca="1">SUM($N$2:N652)/M652</f>
        <v>120.12047076621849</v>
      </c>
    </row>
    <row r="653" spans="1:15" x14ac:dyDescent="0.2">
      <c r="A653">
        <v>651</v>
      </c>
      <c r="B653" s="11">
        <f t="shared" si="42"/>
        <v>0</v>
      </c>
      <c r="C653">
        <f ca="1">SUM($B$2:B653)/A653</f>
        <v>117.84165624106072</v>
      </c>
      <c r="E653">
        <v>651</v>
      </c>
      <c r="F653" s="11">
        <f t="shared" si="43"/>
        <v>0</v>
      </c>
      <c r="G653">
        <f ca="1">SUM($F$2:F653)/E653</f>
        <v>119.93595391404304</v>
      </c>
      <c r="I653">
        <v>651</v>
      </c>
      <c r="J653">
        <f t="shared" si="44"/>
        <v>0</v>
      </c>
      <c r="K653">
        <f ca="1">SUM($J$2:J653)/I653</f>
        <v>117.84165624106072</v>
      </c>
      <c r="M653">
        <v>651</v>
      </c>
      <c r="N653">
        <f t="shared" si="45"/>
        <v>0</v>
      </c>
      <c r="O653">
        <f ca="1">SUM($N$2:N653)/M653</f>
        <v>119.93595391404304</v>
      </c>
    </row>
    <row r="654" spans="1:15" x14ac:dyDescent="0.2">
      <c r="A654">
        <v>652</v>
      </c>
      <c r="B654" s="11">
        <f t="shared" si="42"/>
        <v>0</v>
      </c>
      <c r="C654">
        <f ca="1">SUM($B$2:B654)/A654</f>
        <v>117.66091750449468</v>
      </c>
      <c r="E654">
        <v>652</v>
      </c>
      <c r="F654" s="11">
        <f t="shared" si="43"/>
        <v>0</v>
      </c>
      <c r="G654">
        <f ca="1">SUM($F$2:F654)/E654</f>
        <v>119.75200306448163</v>
      </c>
      <c r="I654">
        <v>652</v>
      </c>
      <c r="J654">
        <f t="shared" si="44"/>
        <v>0</v>
      </c>
      <c r="K654">
        <f ca="1">SUM($J$2:J654)/I654</f>
        <v>117.66091750449468</v>
      </c>
      <c r="M654">
        <v>652</v>
      </c>
      <c r="N654">
        <f t="shared" si="45"/>
        <v>0</v>
      </c>
      <c r="O654">
        <f ca="1">SUM($N$2:N654)/M654</f>
        <v>119.75200306448163</v>
      </c>
    </row>
    <row r="655" spans="1:15" x14ac:dyDescent="0.2">
      <c r="A655">
        <v>653</v>
      </c>
      <c r="B655" s="11">
        <f t="shared" si="42"/>
        <v>0</v>
      </c>
      <c r="C655">
        <f ca="1">SUM($B$2:B655)/A655</f>
        <v>117.48073233220602</v>
      </c>
      <c r="E655">
        <v>653</v>
      </c>
      <c r="F655" s="11">
        <f t="shared" si="43"/>
        <v>0</v>
      </c>
      <c r="G655">
        <f ca="1">SUM($F$2:F655)/E655</f>
        <v>119.56861561721595</v>
      </c>
      <c r="I655">
        <v>653</v>
      </c>
      <c r="J655">
        <f t="shared" si="44"/>
        <v>0</v>
      </c>
      <c r="K655">
        <f ca="1">SUM($J$2:J655)/I655</f>
        <v>117.48073233220602</v>
      </c>
      <c r="M655">
        <v>653</v>
      </c>
      <c r="N655">
        <f t="shared" si="45"/>
        <v>0</v>
      </c>
      <c r="O655">
        <f ca="1">SUM($N$2:N655)/M655</f>
        <v>119.56861561721595</v>
      </c>
    </row>
    <row r="656" spans="1:15" x14ac:dyDescent="0.2">
      <c r="A656">
        <v>654</v>
      </c>
      <c r="B656" s="11">
        <f t="shared" si="42"/>
        <v>0</v>
      </c>
      <c r="C656">
        <f ca="1">SUM($B$2:B656)/A656</f>
        <v>117.30109818490907</v>
      </c>
      <c r="E656">
        <v>654</v>
      </c>
      <c r="F656" s="11">
        <f t="shared" si="43"/>
        <v>0</v>
      </c>
      <c r="G656">
        <f ca="1">SUM($F$2:F656)/E656</f>
        <v>119.38578898783184</v>
      </c>
      <c r="I656">
        <v>654</v>
      </c>
      <c r="J656">
        <f t="shared" si="44"/>
        <v>0</v>
      </c>
      <c r="K656">
        <f ca="1">SUM($J$2:J656)/I656</f>
        <v>117.30109818490907</v>
      </c>
      <c r="M656">
        <v>654</v>
      </c>
      <c r="N656">
        <f t="shared" si="45"/>
        <v>0</v>
      </c>
      <c r="O656">
        <f ca="1">SUM($N$2:N656)/M656</f>
        <v>119.38578898783184</v>
      </c>
    </row>
    <row r="657" spans="1:15" x14ac:dyDescent="0.2">
      <c r="A657">
        <v>655</v>
      </c>
      <c r="B657" s="11">
        <f t="shared" si="42"/>
        <v>0</v>
      </c>
      <c r="C657">
        <f ca="1">SUM($B$2:B657)/A657</f>
        <v>117.12201253882523</v>
      </c>
      <c r="E657">
        <v>655</v>
      </c>
      <c r="F657" s="11">
        <f t="shared" si="43"/>
        <v>0</v>
      </c>
      <c r="G657">
        <f ca="1">SUM($F$2:F657)/E657</f>
        <v>119.20352060769774</v>
      </c>
      <c r="I657">
        <v>655</v>
      </c>
      <c r="J657">
        <f t="shared" si="44"/>
        <v>0</v>
      </c>
      <c r="K657">
        <f ca="1">SUM($J$2:J657)/I657</f>
        <v>117.12201253882523</v>
      </c>
      <c r="M657">
        <v>655</v>
      </c>
      <c r="N657">
        <f t="shared" si="45"/>
        <v>0</v>
      </c>
      <c r="O657">
        <f ca="1">SUM($N$2:N657)/M657</f>
        <v>119.20352060769774</v>
      </c>
    </row>
    <row r="658" spans="1:15" x14ac:dyDescent="0.2">
      <c r="A658">
        <v>656</v>
      </c>
      <c r="B658" s="11">
        <f t="shared" si="42"/>
        <v>0</v>
      </c>
      <c r="C658">
        <f ca="1">SUM($B$2:B658)/A658</f>
        <v>116.94347288556483</v>
      </c>
      <c r="E658">
        <v>656</v>
      </c>
      <c r="F658" s="11">
        <f t="shared" si="43"/>
        <v>0</v>
      </c>
      <c r="G658">
        <f ca="1">SUM($F$2:F658)/E658</f>
        <v>119.02180792384455</v>
      </c>
      <c r="I658">
        <v>656</v>
      </c>
      <c r="J658">
        <f t="shared" si="44"/>
        <v>0</v>
      </c>
      <c r="K658">
        <f ca="1">SUM($J$2:J658)/I658</f>
        <v>116.94347288556483</v>
      </c>
      <c r="M658">
        <v>656</v>
      </c>
      <c r="N658">
        <f t="shared" si="45"/>
        <v>0</v>
      </c>
      <c r="O658">
        <f ca="1">SUM($N$2:N658)/M658</f>
        <v>119.02180792384455</v>
      </c>
    </row>
    <row r="659" spans="1:15" x14ac:dyDescent="0.2">
      <c r="A659">
        <v>657</v>
      </c>
      <c r="B659" s="11">
        <f t="shared" si="42"/>
        <v>0</v>
      </c>
      <c r="C659">
        <f ca="1">SUM($B$2:B659)/A659</f>
        <v>116.76547673200993</v>
      </c>
      <c r="E659">
        <v>657</v>
      </c>
      <c r="F659" s="11">
        <f t="shared" si="43"/>
        <v>0</v>
      </c>
      <c r="G659">
        <f ca="1">SUM($F$2:F659)/E659</f>
        <v>118.8406483988463</v>
      </c>
      <c r="I659">
        <v>657</v>
      </c>
      <c r="J659">
        <f t="shared" si="44"/>
        <v>0</v>
      </c>
      <c r="K659">
        <f ca="1">SUM($J$2:J659)/I659</f>
        <v>116.76547673200993</v>
      </c>
      <c r="M659">
        <v>657</v>
      </c>
      <c r="N659">
        <f t="shared" si="45"/>
        <v>0</v>
      </c>
      <c r="O659">
        <f ca="1">SUM($N$2:N659)/M659</f>
        <v>118.8406483988463</v>
      </c>
    </row>
    <row r="660" spans="1:15" x14ac:dyDescent="0.2">
      <c r="A660">
        <v>658</v>
      </c>
      <c r="B660" s="11">
        <f t="shared" si="42"/>
        <v>0</v>
      </c>
      <c r="C660">
        <f ca="1">SUM($B$2:B660)/A660</f>
        <v>116.58802160019837</v>
      </c>
      <c r="E660">
        <v>658</v>
      </c>
      <c r="F660" s="11">
        <f t="shared" si="43"/>
        <v>0</v>
      </c>
      <c r="G660">
        <f ca="1">SUM($F$2:F660)/E660</f>
        <v>118.66003951070216</v>
      </c>
      <c r="I660">
        <v>658</v>
      </c>
      <c r="J660">
        <f t="shared" si="44"/>
        <v>0</v>
      </c>
      <c r="K660">
        <f ca="1">SUM($J$2:J660)/I660</f>
        <v>116.58802160019837</v>
      </c>
      <c r="M660">
        <v>658</v>
      </c>
      <c r="N660">
        <f t="shared" si="45"/>
        <v>0</v>
      </c>
      <c r="O660">
        <f ca="1">SUM($N$2:N660)/M660</f>
        <v>118.66003951070216</v>
      </c>
    </row>
    <row r="661" spans="1:15" x14ac:dyDescent="0.2">
      <c r="A661">
        <v>659</v>
      </c>
      <c r="B661" s="11">
        <f t="shared" si="42"/>
        <v>0</v>
      </c>
      <c r="C661">
        <f ca="1">SUM($B$2:B661)/A661</f>
        <v>116.41110502720869</v>
      </c>
      <c r="E661">
        <v>659</v>
      </c>
      <c r="F661" s="11">
        <f t="shared" si="43"/>
        <v>0</v>
      </c>
      <c r="G661">
        <f ca="1">SUM($F$2:F661)/E661</f>
        <v>118.4799787527193</v>
      </c>
      <c r="I661">
        <v>659</v>
      </c>
      <c r="J661">
        <f t="shared" si="44"/>
        <v>0</v>
      </c>
      <c r="K661">
        <f ca="1">SUM($J$2:J661)/I661</f>
        <v>116.41110502720869</v>
      </c>
      <c r="M661">
        <v>659</v>
      </c>
      <c r="N661">
        <f t="shared" si="45"/>
        <v>0</v>
      </c>
      <c r="O661">
        <f ca="1">SUM($N$2:N661)/M661</f>
        <v>118.4799787527193</v>
      </c>
    </row>
    <row r="662" spans="1:15" x14ac:dyDescent="0.2">
      <c r="A662">
        <v>660</v>
      </c>
      <c r="B662" s="11">
        <f t="shared" si="42"/>
        <v>0</v>
      </c>
      <c r="C662">
        <f ca="1">SUM($B$2:B662)/A662</f>
        <v>116.23472456504625</v>
      </c>
      <c r="E662">
        <v>660</v>
      </c>
      <c r="F662" s="11">
        <f t="shared" si="43"/>
        <v>0</v>
      </c>
      <c r="G662">
        <f ca="1">SUM($F$2:F662)/E662</f>
        <v>118.300463633397</v>
      </c>
      <c r="I662">
        <v>660</v>
      </c>
      <c r="J662">
        <f t="shared" si="44"/>
        <v>0</v>
      </c>
      <c r="K662">
        <f ca="1">SUM($J$2:J662)/I662</f>
        <v>116.23472456504625</v>
      </c>
      <c r="M662">
        <v>660</v>
      </c>
      <c r="N662">
        <f t="shared" si="45"/>
        <v>0</v>
      </c>
      <c r="O662">
        <f ca="1">SUM($N$2:N662)/M662</f>
        <v>118.300463633397</v>
      </c>
    </row>
    <row r="663" spans="1:15" x14ac:dyDescent="0.2">
      <c r="A663">
        <v>661</v>
      </c>
      <c r="B663" s="11">
        <f t="shared" si="42"/>
        <v>0</v>
      </c>
      <c r="C663">
        <f ca="1">SUM($B$2:B663)/A663</f>
        <v>116.0588777805303</v>
      </c>
      <c r="E663">
        <v>661</v>
      </c>
      <c r="F663" s="11">
        <f t="shared" si="43"/>
        <v>0</v>
      </c>
      <c r="G663">
        <f ca="1">SUM($F$2:F663)/E663</f>
        <v>118.12149167631168</v>
      </c>
      <c r="I663">
        <v>661</v>
      </c>
      <c r="J663">
        <f t="shared" si="44"/>
        <v>0</v>
      </c>
      <c r="K663">
        <f ca="1">SUM($J$2:J663)/I663</f>
        <v>116.0588777805303</v>
      </c>
      <c r="M663">
        <v>661</v>
      </c>
      <c r="N663">
        <f t="shared" si="45"/>
        <v>0</v>
      </c>
      <c r="O663">
        <f ca="1">SUM($N$2:N663)/M663</f>
        <v>118.12149167631168</v>
      </c>
    </row>
    <row r="664" spans="1:15" x14ac:dyDescent="0.2">
      <c r="A664">
        <v>662</v>
      </c>
      <c r="B664" s="11">
        <f t="shared" si="42"/>
        <v>0</v>
      </c>
      <c r="C664">
        <f ca="1">SUM($B$2:B664)/A664</f>
        <v>115.88356225518207</v>
      </c>
      <c r="E664">
        <v>662</v>
      </c>
      <c r="F664" s="11">
        <f t="shared" si="43"/>
        <v>0</v>
      </c>
      <c r="G664">
        <f ca="1">SUM($F$2:F664)/E664</f>
        <v>117.94306042000305</v>
      </c>
      <c r="I664">
        <v>662</v>
      </c>
      <c r="J664">
        <f t="shared" si="44"/>
        <v>0</v>
      </c>
      <c r="K664">
        <f ca="1">SUM($J$2:J664)/I664</f>
        <v>115.88356225518207</v>
      </c>
      <c r="M664">
        <v>662</v>
      </c>
      <c r="N664">
        <f t="shared" si="45"/>
        <v>0</v>
      </c>
      <c r="O664">
        <f ca="1">SUM($N$2:N664)/M664</f>
        <v>117.94306042000305</v>
      </c>
    </row>
    <row r="665" spans="1:15" x14ac:dyDescent="0.2">
      <c r="A665">
        <v>663</v>
      </c>
      <c r="B665" s="11">
        <f t="shared" si="42"/>
        <v>0</v>
      </c>
      <c r="C665">
        <f ca="1">SUM($B$2:B665)/A665</f>
        <v>115.70877558511391</v>
      </c>
      <c r="E665">
        <v>663</v>
      </c>
      <c r="F665" s="11">
        <f t="shared" si="43"/>
        <v>0</v>
      </c>
      <c r="G665">
        <f ca="1">SUM($F$2:F665)/E665</f>
        <v>117.76516741786126</v>
      </c>
      <c r="I665">
        <v>663</v>
      </c>
      <c r="J665">
        <f t="shared" si="44"/>
        <v>0</v>
      </c>
      <c r="K665">
        <f ca="1">SUM($J$2:J665)/I665</f>
        <v>115.70877558511391</v>
      </c>
      <c r="M665">
        <v>663</v>
      </c>
      <c r="N665">
        <f t="shared" si="45"/>
        <v>0</v>
      </c>
      <c r="O665">
        <f ca="1">SUM($N$2:N665)/M665</f>
        <v>117.76516741786126</v>
      </c>
    </row>
    <row r="666" spans="1:15" x14ac:dyDescent="0.2">
      <c r="A666">
        <v>664</v>
      </c>
      <c r="B666" s="11">
        <f t="shared" si="42"/>
        <v>0</v>
      </c>
      <c r="C666">
        <f ca="1">SUM($B$2:B666)/A666</f>
        <v>115.53451538091947</v>
      </c>
      <c r="E666">
        <v>664</v>
      </c>
      <c r="F666" s="11">
        <f t="shared" si="43"/>
        <v>0</v>
      </c>
      <c r="G666">
        <f ca="1">SUM($F$2:F666)/E666</f>
        <v>117.58781023801509</v>
      </c>
      <c r="I666">
        <v>664</v>
      </c>
      <c r="J666">
        <f t="shared" si="44"/>
        <v>0</v>
      </c>
      <c r="K666">
        <f ca="1">SUM($J$2:J666)/I666</f>
        <v>115.53451538091947</v>
      </c>
      <c r="M666">
        <v>664</v>
      </c>
      <c r="N666">
        <f t="shared" si="45"/>
        <v>0</v>
      </c>
      <c r="O666">
        <f ca="1">SUM($N$2:N666)/M666</f>
        <v>117.58781023801509</v>
      </c>
    </row>
    <row r="667" spans="1:15" x14ac:dyDescent="0.2">
      <c r="A667">
        <v>665</v>
      </c>
      <c r="B667" s="11">
        <f t="shared" si="42"/>
        <v>0</v>
      </c>
      <c r="C667">
        <f ca="1">SUM($B$2:B667)/A667</f>
        <v>115.36077926756469</v>
      </c>
      <c r="E667">
        <v>665</v>
      </c>
      <c r="F667" s="11">
        <f t="shared" si="43"/>
        <v>0</v>
      </c>
      <c r="G667">
        <f ca="1">SUM($F$2:F667)/E667</f>
        <v>117.41098646322109</v>
      </c>
      <c r="I667">
        <v>665</v>
      </c>
      <c r="J667">
        <f t="shared" si="44"/>
        <v>0</v>
      </c>
      <c r="K667">
        <f ca="1">SUM($J$2:J667)/I667</f>
        <v>115.36077926756469</v>
      </c>
      <c r="M667">
        <v>665</v>
      </c>
      <c r="N667">
        <f t="shared" si="45"/>
        <v>0</v>
      </c>
      <c r="O667">
        <f ca="1">SUM($N$2:N667)/M667</f>
        <v>117.41098646322109</v>
      </c>
    </row>
    <row r="668" spans="1:15" x14ac:dyDescent="0.2">
      <c r="A668">
        <v>666</v>
      </c>
      <c r="B668" s="11">
        <f t="shared" si="42"/>
        <v>0</v>
      </c>
      <c r="C668">
        <f ca="1">SUM($B$2:B668)/A668</f>
        <v>115.18756488428006</v>
      </c>
      <c r="E668">
        <v>666</v>
      </c>
      <c r="F668" s="11">
        <f t="shared" si="43"/>
        <v>0</v>
      </c>
      <c r="G668">
        <f ca="1">SUM($F$2:F668)/E668</f>
        <v>117.23469369075379</v>
      </c>
      <c r="I668">
        <v>666</v>
      </c>
      <c r="J668">
        <f t="shared" si="44"/>
        <v>0</v>
      </c>
      <c r="K668">
        <f ca="1">SUM($J$2:J668)/I668</f>
        <v>115.18756488428006</v>
      </c>
      <c r="M668">
        <v>666</v>
      </c>
      <c r="N668">
        <f t="shared" si="45"/>
        <v>0</v>
      </c>
      <c r="O668">
        <f ca="1">SUM($N$2:N668)/M668</f>
        <v>117.23469369075379</v>
      </c>
    </row>
    <row r="669" spans="1:15" x14ac:dyDescent="0.2">
      <c r="A669">
        <v>667</v>
      </c>
      <c r="B669" s="11">
        <f t="shared" si="42"/>
        <v>0</v>
      </c>
      <c r="C669">
        <f ca="1">SUM($B$2:B669)/A669</f>
        <v>115.01486988445356</v>
      </c>
      <c r="E669">
        <v>667</v>
      </c>
      <c r="F669" s="11">
        <f t="shared" si="43"/>
        <v>0</v>
      </c>
      <c r="G669">
        <f ca="1">SUM($F$2:F669)/E669</f>
        <v>117.05892953229689</v>
      </c>
      <c r="I669">
        <v>667</v>
      </c>
      <c r="J669">
        <f t="shared" si="44"/>
        <v>0</v>
      </c>
      <c r="K669">
        <f ca="1">SUM($J$2:J669)/I669</f>
        <v>115.01486988445356</v>
      </c>
      <c r="M669">
        <v>667</v>
      </c>
      <c r="N669">
        <f t="shared" si="45"/>
        <v>0</v>
      </c>
      <c r="O669">
        <f ca="1">SUM($N$2:N669)/M669</f>
        <v>117.05892953229689</v>
      </c>
    </row>
    <row r="670" spans="1:15" x14ac:dyDescent="0.2">
      <c r="A670">
        <v>668</v>
      </c>
      <c r="B670" s="11">
        <f t="shared" si="42"/>
        <v>0</v>
      </c>
      <c r="C670">
        <f ca="1">SUM($B$2:B670)/A670</f>
        <v>114.84269193552474</v>
      </c>
      <c r="E670">
        <v>668</v>
      </c>
      <c r="F670" s="11">
        <f t="shared" si="43"/>
        <v>0</v>
      </c>
      <c r="G670">
        <f ca="1">SUM($F$2:F670)/E670</f>
        <v>116.88369161383537</v>
      </c>
      <c r="I670">
        <v>668</v>
      </c>
      <c r="J670">
        <f t="shared" si="44"/>
        <v>0</v>
      </c>
      <c r="K670">
        <f ca="1">SUM($J$2:J670)/I670</f>
        <v>114.84269193552474</v>
      </c>
      <c r="M670">
        <v>668</v>
      </c>
      <c r="N670">
        <f t="shared" si="45"/>
        <v>0</v>
      </c>
      <c r="O670">
        <f ca="1">SUM($N$2:N670)/M670</f>
        <v>116.88369161383537</v>
      </c>
    </row>
    <row r="671" spans="1:15" x14ac:dyDescent="0.2">
      <c r="A671">
        <v>669</v>
      </c>
      <c r="B671" s="11">
        <f t="shared" si="42"/>
        <v>0</v>
      </c>
      <c r="C671">
        <f ca="1">SUM($B$2:B671)/A671</f>
        <v>114.67102871887971</v>
      </c>
      <c r="E671">
        <v>669</v>
      </c>
      <c r="F671" s="11">
        <f t="shared" si="43"/>
        <v>0</v>
      </c>
      <c r="G671">
        <f ca="1">SUM($F$2:F671)/E671</f>
        <v>116.70897757554862</v>
      </c>
      <c r="I671">
        <v>669</v>
      </c>
      <c r="J671">
        <f t="shared" si="44"/>
        <v>0</v>
      </c>
      <c r="K671">
        <f ca="1">SUM($J$2:J671)/I671</f>
        <v>114.67102871887971</v>
      </c>
      <c r="M671">
        <v>669</v>
      </c>
      <c r="N671">
        <f t="shared" si="45"/>
        <v>0</v>
      </c>
      <c r="O671">
        <f ca="1">SUM($N$2:N671)/M671</f>
        <v>116.70897757554862</v>
      </c>
    </row>
    <row r="672" spans="1:15" x14ac:dyDescent="0.2">
      <c r="A672">
        <v>670</v>
      </c>
      <c r="B672" s="11">
        <f t="shared" si="42"/>
        <v>0</v>
      </c>
      <c r="C672">
        <f ca="1">SUM($B$2:B672)/A672</f>
        <v>114.49987792974706</v>
      </c>
      <c r="E672">
        <v>670</v>
      </c>
      <c r="F672" s="11">
        <f t="shared" si="43"/>
        <v>0</v>
      </c>
      <c r="G672">
        <f ca="1">SUM($F$2:F672)/E672</f>
        <v>116.5347850717045</v>
      </c>
      <c r="I672">
        <v>670</v>
      </c>
      <c r="J672">
        <f t="shared" si="44"/>
        <v>0</v>
      </c>
      <c r="K672">
        <f ca="1">SUM($J$2:J672)/I672</f>
        <v>114.49987792974706</v>
      </c>
      <c r="M672">
        <v>670</v>
      </c>
      <c r="N672">
        <f t="shared" si="45"/>
        <v>0</v>
      </c>
      <c r="O672">
        <f ca="1">SUM($N$2:N672)/M672</f>
        <v>116.5347850717045</v>
      </c>
    </row>
    <row r="673" spans="1:15" x14ac:dyDescent="0.2">
      <c r="A673">
        <v>671</v>
      </c>
      <c r="B673" s="11">
        <f t="shared" si="42"/>
        <v>0</v>
      </c>
      <c r="C673">
        <f ca="1">SUM($B$2:B673)/A673</f>
        <v>114.32923727709468</v>
      </c>
      <c r="E673">
        <v>671</v>
      </c>
      <c r="F673" s="11">
        <f t="shared" si="43"/>
        <v>0</v>
      </c>
      <c r="G673">
        <f ca="1">SUM($F$2:F673)/E673</f>
        <v>116.36111177055443</v>
      </c>
      <c r="I673">
        <v>671</v>
      </c>
      <c r="J673">
        <f t="shared" si="44"/>
        <v>0</v>
      </c>
      <c r="K673">
        <f ca="1">SUM($J$2:J673)/I673</f>
        <v>114.32923727709468</v>
      </c>
      <c r="M673">
        <v>671</v>
      </c>
      <c r="N673">
        <f t="shared" si="45"/>
        <v>0</v>
      </c>
      <c r="O673">
        <f ca="1">SUM($N$2:N673)/M673</f>
        <v>116.36111177055443</v>
      </c>
    </row>
    <row r="674" spans="1:15" x14ac:dyDescent="0.2">
      <c r="A674">
        <v>672</v>
      </c>
      <c r="B674" s="11">
        <f t="shared" si="42"/>
        <v>0</v>
      </c>
      <c r="C674">
        <f ca="1">SUM($B$2:B674)/A674</f>
        <v>114.15910448352757</v>
      </c>
      <c r="E674">
        <v>672</v>
      </c>
      <c r="F674" s="11">
        <f t="shared" si="43"/>
        <v>0</v>
      </c>
      <c r="G674">
        <f ca="1">SUM($F$2:F674)/E674</f>
        <v>116.1879553542292</v>
      </c>
      <c r="I674">
        <v>672</v>
      </c>
      <c r="J674">
        <f t="shared" si="44"/>
        <v>0</v>
      </c>
      <c r="K674">
        <f ca="1">SUM($J$2:J674)/I674</f>
        <v>114.15910448352757</v>
      </c>
      <c r="M674">
        <v>672</v>
      </c>
      <c r="N674">
        <f t="shared" si="45"/>
        <v>0</v>
      </c>
      <c r="O674">
        <f ca="1">SUM($N$2:N674)/M674</f>
        <v>116.1879553542292</v>
      </c>
    </row>
    <row r="675" spans="1:15" x14ac:dyDescent="0.2">
      <c r="A675">
        <v>673</v>
      </c>
      <c r="B675" s="11">
        <f t="shared" si="42"/>
        <v>0</v>
      </c>
      <c r="C675">
        <f ca="1">SUM($B$2:B675)/A675</f>
        <v>113.98947728518652</v>
      </c>
      <c r="E675">
        <v>673</v>
      </c>
      <c r="F675" s="11">
        <f t="shared" si="43"/>
        <v>0</v>
      </c>
      <c r="G675">
        <f ca="1">SUM($F$2:F675)/E675</f>
        <v>116.01531351863599</v>
      </c>
      <c r="I675">
        <v>673</v>
      </c>
      <c r="J675">
        <f t="shared" si="44"/>
        <v>0</v>
      </c>
      <c r="K675">
        <f ca="1">SUM($J$2:J675)/I675</f>
        <v>113.98947728518652</v>
      </c>
      <c r="M675">
        <v>673</v>
      </c>
      <c r="N675">
        <f t="shared" si="45"/>
        <v>0</v>
      </c>
      <c r="O675">
        <f ca="1">SUM($N$2:N675)/M675</f>
        <v>116.01531351863599</v>
      </c>
    </row>
    <row r="676" spans="1:15" x14ac:dyDescent="0.2">
      <c r="A676">
        <v>674</v>
      </c>
      <c r="B676" s="11">
        <f t="shared" si="42"/>
        <v>0</v>
      </c>
      <c r="C676">
        <f ca="1">SUM($B$2:B676)/A676</f>
        <v>113.82035343164766</v>
      </c>
      <c r="E676">
        <v>674</v>
      </c>
      <c r="F676" s="11">
        <f t="shared" si="43"/>
        <v>0</v>
      </c>
      <c r="G676">
        <f ca="1">SUM($F$2:F676)/E676</f>
        <v>115.84318397335612</v>
      </c>
      <c r="I676">
        <v>674</v>
      </c>
      <c r="J676">
        <f t="shared" si="44"/>
        <v>0</v>
      </c>
      <c r="K676">
        <f ca="1">SUM($J$2:J676)/I676</f>
        <v>113.82035343164766</v>
      </c>
      <c r="M676">
        <v>674</v>
      </c>
      <c r="N676">
        <f t="shared" si="45"/>
        <v>0</v>
      </c>
      <c r="O676">
        <f ca="1">SUM($N$2:N676)/M676</f>
        <v>115.84318397335612</v>
      </c>
    </row>
    <row r="677" spans="1:15" x14ac:dyDescent="0.2">
      <c r="A677">
        <v>675</v>
      </c>
      <c r="B677" s="11">
        <f t="shared" si="42"/>
        <v>0</v>
      </c>
      <c r="C677">
        <f ca="1">SUM($B$2:B677)/A677</f>
        <v>113.651730685823</v>
      </c>
      <c r="E677">
        <v>675</v>
      </c>
      <c r="F677" s="11">
        <f t="shared" si="43"/>
        <v>0</v>
      </c>
      <c r="G677">
        <f ca="1">SUM($F$2:F677)/E677</f>
        <v>115.67156444154374</v>
      </c>
      <c r="I677">
        <v>675</v>
      </c>
      <c r="J677">
        <f t="shared" si="44"/>
        <v>0</v>
      </c>
      <c r="K677">
        <f ca="1">SUM($J$2:J677)/I677</f>
        <v>113.651730685823</v>
      </c>
      <c r="M677">
        <v>675</v>
      </c>
      <c r="N677">
        <f t="shared" si="45"/>
        <v>0</v>
      </c>
      <c r="O677">
        <f ca="1">SUM($N$2:N677)/M677</f>
        <v>115.67156444154374</v>
      </c>
    </row>
    <row r="678" spans="1:15" x14ac:dyDescent="0.2">
      <c r="A678">
        <v>676</v>
      </c>
      <c r="B678" s="11">
        <f t="shared" si="42"/>
        <v>0</v>
      </c>
      <c r="C678">
        <f ca="1">SUM($B$2:B678)/A678</f>
        <v>113.48360682386172</v>
      </c>
      <c r="E678">
        <v>676</v>
      </c>
      <c r="F678" s="11">
        <f t="shared" si="43"/>
        <v>0</v>
      </c>
      <c r="G678">
        <f ca="1">SUM($F$2:F678)/E678</f>
        <v>115.50045265982547</v>
      </c>
      <c r="I678">
        <v>676</v>
      </c>
      <c r="J678">
        <f t="shared" si="44"/>
        <v>0</v>
      </c>
      <c r="K678">
        <f ca="1">SUM($J$2:J678)/I678</f>
        <v>113.48360682386172</v>
      </c>
      <c r="M678">
        <v>676</v>
      </c>
      <c r="N678">
        <f t="shared" si="45"/>
        <v>0</v>
      </c>
      <c r="O678">
        <f ca="1">SUM($N$2:N678)/M678</f>
        <v>115.50045265982547</v>
      </c>
    </row>
    <row r="679" spans="1:15" x14ac:dyDescent="0.2">
      <c r="A679">
        <v>677</v>
      </c>
      <c r="B679" s="11">
        <f t="shared" si="42"/>
        <v>0</v>
      </c>
      <c r="C679">
        <f ca="1">SUM($B$2:B679)/A679</f>
        <v>113.31597963505247</v>
      </c>
      <c r="E679">
        <v>677</v>
      </c>
      <c r="F679" s="11">
        <f t="shared" si="43"/>
        <v>0</v>
      </c>
      <c r="G679">
        <f ca="1">SUM($F$2:F679)/E679</f>
        <v>115.32984637820091</v>
      </c>
      <c r="I679">
        <v>677</v>
      </c>
      <c r="J679">
        <f t="shared" si="44"/>
        <v>0</v>
      </c>
      <c r="K679">
        <f ca="1">SUM($J$2:J679)/I679</f>
        <v>113.31597963505247</v>
      </c>
      <c r="M679">
        <v>677</v>
      </c>
      <c r="N679">
        <f t="shared" si="45"/>
        <v>0</v>
      </c>
      <c r="O679">
        <f ca="1">SUM($N$2:N679)/M679</f>
        <v>115.32984637820091</v>
      </c>
    </row>
    <row r="680" spans="1:15" x14ac:dyDescent="0.2">
      <c r="A680">
        <v>678</v>
      </c>
      <c r="B680" s="11">
        <f t="shared" si="42"/>
        <v>0</v>
      </c>
      <c r="C680">
        <f ca="1">SUM($B$2:B680)/A680</f>
        <v>113.14884692172645</v>
      </c>
      <c r="E680">
        <v>678</v>
      </c>
      <c r="F680" s="11">
        <f t="shared" si="43"/>
        <v>0</v>
      </c>
      <c r="G680">
        <f ca="1">SUM($F$2:F680)/E680</f>
        <v>115.15974335994399</v>
      </c>
      <c r="I680">
        <v>678</v>
      </c>
      <c r="J680">
        <f t="shared" si="44"/>
        <v>0</v>
      </c>
      <c r="K680">
        <f ca="1">SUM($J$2:J680)/I680</f>
        <v>113.14884692172645</v>
      </c>
      <c r="M680">
        <v>678</v>
      </c>
      <c r="N680">
        <f t="shared" si="45"/>
        <v>0</v>
      </c>
      <c r="O680">
        <f ca="1">SUM($N$2:N680)/M680</f>
        <v>115.15974335994399</v>
      </c>
    </row>
    <row r="681" spans="1:15" x14ac:dyDescent="0.2">
      <c r="A681">
        <v>679</v>
      </c>
      <c r="B681" s="11">
        <f t="shared" si="42"/>
        <v>0</v>
      </c>
      <c r="C681">
        <f ca="1">SUM($B$2:B681)/A681</f>
        <v>112.98220649916131</v>
      </c>
      <c r="E681">
        <v>679</v>
      </c>
      <c r="F681" s="11">
        <f t="shared" si="43"/>
        <v>0</v>
      </c>
      <c r="G681">
        <f ca="1">SUM($F$2:F681)/E681</f>
        <v>114.99014138150518</v>
      </c>
      <c r="I681">
        <v>679</v>
      </c>
      <c r="J681">
        <f t="shared" si="44"/>
        <v>0</v>
      </c>
      <c r="K681">
        <f ca="1">SUM($J$2:J681)/I681</f>
        <v>112.98220649916131</v>
      </c>
      <c r="M681">
        <v>679</v>
      </c>
      <c r="N681">
        <f t="shared" si="45"/>
        <v>0</v>
      </c>
      <c r="O681">
        <f ca="1">SUM($N$2:N681)/M681</f>
        <v>114.99014138150518</v>
      </c>
    </row>
    <row r="682" spans="1:15" x14ac:dyDescent="0.2">
      <c r="A682">
        <v>680</v>
      </c>
      <c r="B682" s="11">
        <f t="shared" si="42"/>
        <v>0</v>
      </c>
      <c r="C682">
        <f ca="1">SUM($B$2:B682)/A682</f>
        <v>112.81605619548607</v>
      </c>
      <c r="E682">
        <v>680</v>
      </c>
      <c r="F682" s="11">
        <f t="shared" si="43"/>
        <v>0</v>
      </c>
      <c r="G682">
        <f ca="1">SUM($F$2:F682)/E682</f>
        <v>114.82103823241474</v>
      </c>
      <c r="I682">
        <v>680</v>
      </c>
      <c r="J682">
        <f t="shared" si="44"/>
        <v>0</v>
      </c>
      <c r="K682">
        <f ca="1">SUM($J$2:J682)/I682</f>
        <v>112.81605619548607</v>
      </c>
      <c r="M682">
        <v>680</v>
      </c>
      <c r="N682">
        <f t="shared" si="45"/>
        <v>0</v>
      </c>
      <c r="O682">
        <f ca="1">SUM($N$2:N682)/M682</f>
        <v>114.82103823241474</v>
      </c>
    </row>
    <row r="683" spans="1:15" x14ac:dyDescent="0.2">
      <c r="A683">
        <v>681</v>
      </c>
      <c r="B683" s="11">
        <f t="shared" si="42"/>
        <v>0</v>
      </c>
      <c r="C683">
        <f ca="1">SUM($B$2:B683)/A683</f>
        <v>112.65039385158667</v>
      </c>
      <c r="E683">
        <v>681</v>
      </c>
      <c r="F683" s="11">
        <f t="shared" si="43"/>
        <v>0</v>
      </c>
      <c r="G683">
        <f ca="1">SUM($F$2:F683)/E683</f>
        <v>114.65243171518652</v>
      </c>
      <c r="I683">
        <v>681</v>
      </c>
      <c r="J683">
        <f t="shared" si="44"/>
        <v>0</v>
      </c>
      <c r="K683">
        <f ca="1">SUM($J$2:J683)/I683</f>
        <v>112.65039385158667</v>
      </c>
      <c r="M683">
        <v>681</v>
      </c>
      <c r="N683">
        <f t="shared" si="45"/>
        <v>0</v>
      </c>
      <c r="O683">
        <f ca="1">SUM($N$2:N683)/M683</f>
        <v>114.65243171518652</v>
      </c>
    </row>
    <row r="684" spans="1:15" x14ac:dyDescent="0.2">
      <c r="A684">
        <v>682</v>
      </c>
      <c r="B684" s="11">
        <f t="shared" si="42"/>
        <v>0</v>
      </c>
      <c r="C684">
        <f ca="1">SUM($B$2:B684)/A684</f>
        <v>112.4852173210125</v>
      </c>
      <c r="E684">
        <v>682</v>
      </c>
      <c r="F684" s="11">
        <f t="shared" si="43"/>
        <v>0</v>
      </c>
      <c r="G684">
        <f ca="1">SUM($F$2:F684)/E684</f>
        <v>114.48431964522291</v>
      </c>
      <c r="I684">
        <v>682</v>
      </c>
      <c r="J684">
        <f t="shared" si="44"/>
        <v>0</v>
      </c>
      <c r="K684">
        <f ca="1">SUM($J$2:J684)/I684</f>
        <v>112.4852173210125</v>
      </c>
      <c r="M684">
        <v>682</v>
      </c>
      <c r="N684">
        <f t="shared" si="45"/>
        <v>0</v>
      </c>
      <c r="O684">
        <f ca="1">SUM($N$2:N684)/M684</f>
        <v>114.48431964522291</v>
      </c>
    </row>
    <row r="685" spans="1:15" x14ac:dyDescent="0.2">
      <c r="A685">
        <v>683</v>
      </c>
      <c r="B685" s="11">
        <f t="shared" si="42"/>
        <v>0</v>
      </c>
      <c r="C685">
        <f ca="1">SUM($B$2:B685)/A685</f>
        <v>112.32052446988364</v>
      </c>
      <c r="E685">
        <v>683</v>
      </c>
      <c r="F685" s="11">
        <f t="shared" si="43"/>
        <v>0</v>
      </c>
      <c r="G685">
        <f ca="1">SUM($F$2:F685)/E685</f>
        <v>114.31669985072038</v>
      </c>
      <c r="I685">
        <v>683</v>
      </c>
      <c r="J685">
        <f t="shared" si="44"/>
        <v>0</v>
      </c>
      <c r="K685">
        <f ca="1">SUM($J$2:J685)/I685</f>
        <v>112.32052446988364</v>
      </c>
      <c r="M685">
        <v>683</v>
      </c>
      <c r="N685">
        <f t="shared" si="45"/>
        <v>0</v>
      </c>
      <c r="O685">
        <f ca="1">SUM($N$2:N685)/M685</f>
        <v>114.31669985072038</v>
      </c>
    </row>
    <row r="686" spans="1:15" x14ac:dyDescent="0.2">
      <c r="A686">
        <v>684</v>
      </c>
      <c r="B686" s="11">
        <f t="shared" si="42"/>
        <v>0</v>
      </c>
      <c r="C686">
        <f ca="1">SUM($B$2:B686)/A686</f>
        <v>112.15631317679902</v>
      </c>
      <c r="E686">
        <v>684</v>
      </c>
      <c r="F686" s="11">
        <f t="shared" si="43"/>
        <v>0</v>
      </c>
      <c r="G686">
        <f ca="1">SUM($F$2:F686)/E686</f>
        <v>114.14957017257606</v>
      </c>
      <c r="I686">
        <v>684</v>
      </c>
      <c r="J686">
        <f t="shared" si="44"/>
        <v>0</v>
      </c>
      <c r="K686">
        <f ca="1">SUM($J$2:J686)/I686</f>
        <v>112.15631317679902</v>
      </c>
      <c r="M686">
        <v>684</v>
      </c>
      <c r="N686">
        <f t="shared" si="45"/>
        <v>0</v>
      </c>
      <c r="O686">
        <f ca="1">SUM($N$2:N686)/M686</f>
        <v>114.14957017257606</v>
      </c>
    </row>
    <row r="687" spans="1:15" x14ac:dyDescent="0.2">
      <c r="A687">
        <v>685</v>
      </c>
      <c r="B687" s="11">
        <f t="shared" si="42"/>
        <v>0</v>
      </c>
      <c r="C687">
        <f ca="1">SUM($B$2:B687)/A687</f>
        <v>111.99258133274529</v>
      </c>
      <c r="E687">
        <v>685</v>
      </c>
      <c r="F687" s="11">
        <f t="shared" si="43"/>
        <v>0</v>
      </c>
      <c r="G687">
        <f ca="1">SUM($F$2:F687)/E687</f>
        <v>113.98292846429493</v>
      </c>
      <c r="I687">
        <v>685</v>
      </c>
      <c r="J687">
        <f t="shared" si="44"/>
        <v>0</v>
      </c>
      <c r="K687">
        <f ca="1">SUM($J$2:J687)/I687</f>
        <v>111.99258133274529</v>
      </c>
      <c r="M687">
        <v>685</v>
      </c>
      <c r="N687">
        <f t="shared" si="45"/>
        <v>0</v>
      </c>
      <c r="O687">
        <f ca="1">SUM($N$2:N687)/M687</f>
        <v>113.98292846429493</v>
      </c>
    </row>
    <row r="688" spans="1:15" x14ac:dyDescent="0.2">
      <c r="A688">
        <v>686</v>
      </c>
      <c r="B688" s="11">
        <f t="shared" si="42"/>
        <v>0</v>
      </c>
      <c r="C688">
        <f ca="1">SUM($B$2:B688)/A688</f>
        <v>111.8293268410066</v>
      </c>
      <c r="E688">
        <v>686</v>
      </c>
      <c r="F688" s="11">
        <f t="shared" si="43"/>
        <v>0</v>
      </c>
      <c r="G688">
        <f ca="1">SUM($F$2:F688)/E688</f>
        <v>113.81677259189799</v>
      </c>
      <c r="I688">
        <v>686</v>
      </c>
      <c r="J688">
        <f t="shared" si="44"/>
        <v>0</v>
      </c>
      <c r="K688">
        <f ca="1">SUM($J$2:J688)/I688</f>
        <v>111.8293268410066</v>
      </c>
      <c r="M688">
        <v>686</v>
      </c>
      <c r="N688">
        <f t="shared" si="45"/>
        <v>0</v>
      </c>
      <c r="O688">
        <f ca="1">SUM($N$2:N688)/M688</f>
        <v>113.81677259189799</v>
      </c>
    </row>
    <row r="689" spans="1:15" x14ac:dyDescent="0.2">
      <c r="A689">
        <v>687</v>
      </c>
      <c r="B689" s="11">
        <f t="shared" si="42"/>
        <v>0</v>
      </c>
      <c r="C689">
        <f ca="1">SUM($B$2:B689)/A689</f>
        <v>111.666547617075</v>
      </c>
      <c r="E689">
        <v>687</v>
      </c>
      <c r="F689" s="11">
        <f t="shared" si="43"/>
        <v>0</v>
      </c>
      <c r="G689">
        <f ca="1">SUM($F$2:F689)/E689</f>
        <v>113.65110043383119</v>
      </c>
      <c r="I689">
        <v>687</v>
      </c>
      <c r="J689">
        <f t="shared" si="44"/>
        <v>0</v>
      </c>
      <c r="K689">
        <f ca="1">SUM($J$2:J689)/I689</f>
        <v>111.666547617075</v>
      </c>
      <c r="M689">
        <v>687</v>
      </c>
      <c r="N689">
        <f t="shared" si="45"/>
        <v>0</v>
      </c>
      <c r="O689">
        <f ca="1">SUM($N$2:N689)/M689</f>
        <v>113.65110043383119</v>
      </c>
    </row>
    <row r="690" spans="1:15" x14ac:dyDescent="0.2">
      <c r="A690">
        <v>688</v>
      </c>
      <c r="B690" s="11">
        <f t="shared" si="42"/>
        <v>0</v>
      </c>
      <c r="C690">
        <f ca="1">SUM($B$2:B690)/A690</f>
        <v>111.50424158856181</v>
      </c>
      <c r="E690">
        <v>688</v>
      </c>
      <c r="F690" s="11">
        <f t="shared" si="43"/>
        <v>0</v>
      </c>
      <c r="G690">
        <f ca="1">SUM($F$2:F690)/E690</f>
        <v>113.48590988087503</v>
      </c>
      <c r="I690">
        <v>688</v>
      </c>
      <c r="J690">
        <f t="shared" si="44"/>
        <v>0</v>
      </c>
      <c r="K690">
        <f ca="1">SUM($J$2:J690)/I690</f>
        <v>111.50424158856181</v>
      </c>
      <c r="M690">
        <v>688</v>
      </c>
      <c r="N690">
        <f t="shared" si="45"/>
        <v>0</v>
      </c>
      <c r="O690">
        <f ca="1">SUM($N$2:N690)/M690</f>
        <v>113.48590988087503</v>
      </c>
    </row>
    <row r="691" spans="1:15" x14ac:dyDescent="0.2">
      <c r="A691">
        <v>689</v>
      </c>
      <c r="B691" s="11">
        <f t="shared" si="42"/>
        <v>0</v>
      </c>
      <c r="C691">
        <f ca="1">SUM($B$2:B691)/A691</f>
        <v>111.34240669510962</v>
      </c>
      <c r="E691">
        <v>689</v>
      </c>
      <c r="F691" s="11">
        <f t="shared" si="43"/>
        <v>0</v>
      </c>
      <c r="G691">
        <f ca="1">SUM($F$2:F691)/E691</f>
        <v>113.32119883605519</v>
      </c>
      <c r="I691">
        <v>689</v>
      </c>
      <c r="J691">
        <f t="shared" si="44"/>
        <v>0</v>
      </c>
      <c r="K691">
        <f ca="1">SUM($J$2:J691)/I691</f>
        <v>111.34240669510962</v>
      </c>
      <c r="M691">
        <v>689</v>
      </c>
      <c r="N691">
        <f t="shared" si="45"/>
        <v>0</v>
      </c>
      <c r="O691">
        <f ca="1">SUM($N$2:N691)/M691</f>
        <v>113.32119883605519</v>
      </c>
    </row>
    <row r="692" spans="1:15" x14ac:dyDescent="0.2">
      <c r="A692">
        <v>690</v>
      </c>
      <c r="B692" s="11">
        <f t="shared" si="42"/>
        <v>0</v>
      </c>
      <c r="C692">
        <f ca="1">SUM($B$2:B692)/A692</f>
        <v>111.18104088830511</v>
      </c>
      <c r="E692">
        <v>690</v>
      </c>
      <c r="F692" s="11">
        <f t="shared" si="43"/>
        <v>0</v>
      </c>
      <c r="G692">
        <f ca="1">SUM($F$2:F692)/E692</f>
        <v>113.15696521455365</v>
      </c>
      <c r="I692">
        <v>690</v>
      </c>
      <c r="J692">
        <f t="shared" si="44"/>
        <v>0</v>
      </c>
      <c r="K692">
        <f ca="1">SUM($J$2:J692)/I692</f>
        <v>111.18104088830511</v>
      </c>
      <c r="M692">
        <v>690</v>
      </c>
      <c r="N692">
        <f t="shared" si="45"/>
        <v>0</v>
      </c>
      <c r="O692">
        <f ca="1">SUM($N$2:N692)/M692</f>
        <v>113.15696521455365</v>
      </c>
    </row>
    <row r="693" spans="1:15" x14ac:dyDescent="0.2">
      <c r="A693">
        <v>691</v>
      </c>
      <c r="B693" s="11">
        <f t="shared" si="42"/>
        <v>0</v>
      </c>
      <c r="C693">
        <f ca="1">SUM($B$2:B693)/A693</f>
        <v>111.02014213159266</v>
      </c>
      <c r="E693">
        <v>691</v>
      </c>
      <c r="F693" s="11">
        <f t="shared" si="43"/>
        <v>0</v>
      </c>
      <c r="G693">
        <f ca="1">SUM($F$2:F693)/E693</f>
        <v>112.99320694362088</v>
      </c>
      <c r="I693">
        <v>691</v>
      </c>
      <c r="J693">
        <f t="shared" si="44"/>
        <v>0</v>
      </c>
      <c r="K693">
        <f ca="1">SUM($J$2:J693)/I693</f>
        <v>111.02014213159266</v>
      </c>
      <c r="M693">
        <v>691</v>
      </c>
      <c r="N693">
        <f t="shared" si="45"/>
        <v>0</v>
      </c>
      <c r="O693">
        <f ca="1">SUM($N$2:N693)/M693</f>
        <v>112.99320694362088</v>
      </c>
    </row>
    <row r="694" spans="1:15" x14ac:dyDescent="0.2">
      <c r="A694">
        <v>692</v>
      </c>
      <c r="B694" s="11">
        <f t="shared" si="42"/>
        <v>0</v>
      </c>
      <c r="C694">
        <f ca="1">SUM($B$2:B694)/A694</f>
        <v>110.85970840018862</v>
      </c>
      <c r="E694">
        <v>692</v>
      </c>
      <c r="F694" s="11">
        <f t="shared" si="43"/>
        <v>0</v>
      </c>
      <c r="G694">
        <f ca="1">SUM($F$2:F694)/E694</f>
        <v>112.82992196248847</v>
      </c>
      <c r="I694">
        <v>692</v>
      </c>
      <c r="J694">
        <f t="shared" si="44"/>
        <v>0</v>
      </c>
      <c r="K694">
        <f ca="1">SUM($J$2:J694)/I694</f>
        <v>110.85970840018862</v>
      </c>
      <c r="M694">
        <v>692</v>
      </c>
      <c r="N694">
        <f t="shared" si="45"/>
        <v>0</v>
      </c>
      <c r="O694">
        <f ca="1">SUM($N$2:N694)/M694</f>
        <v>112.82992196248847</v>
      </c>
    </row>
    <row r="695" spans="1:15" x14ac:dyDescent="0.2">
      <c r="A695">
        <v>693</v>
      </c>
      <c r="B695" s="11">
        <f t="shared" si="42"/>
        <v>0</v>
      </c>
      <c r="C695">
        <f ca="1">SUM($B$2:B695)/A695</f>
        <v>110.69973768099644</v>
      </c>
      <c r="E695">
        <v>693</v>
      </c>
      <c r="F695" s="11">
        <f t="shared" si="43"/>
        <v>0</v>
      </c>
      <c r="G695">
        <f ca="1">SUM($F$2:F695)/E695</f>
        <v>112.66710822228286</v>
      </c>
      <c r="I695">
        <v>693</v>
      </c>
      <c r="J695">
        <f t="shared" si="44"/>
        <v>0</v>
      </c>
      <c r="K695">
        <f ca="1">SUM($J$2:J695)/I695</f>
        <v>110.69973768099644</v>
      </c>
      <c r="M695">
        <v>693</v>
      </c>
      <c r="N695">
        <f t="shared" si="45"/>
        <v>0</v>
      </c>
      <c r="O695">
        <f ca="1">SUM($N$2:N695)/M695</f>
        <v>112.66710822228286</v>
      </c>
    </row>
    <row r="696" spans="1:15" x14ac:dyDescent="0.2">
      <c r="A696">
        <v>694</v>
      </c>
      <c r="B696" s="11">
        <f t="shared" si="42"/>
        <v>0</v>
      </c>
      <c r="C696">
        <f ca="1">SUM($B$2:B696)/A696</f>
        <v>110.54022797252237</v>
      </c>
      <c r="E696">
        <v>694</v>
      </c>
      <c r="F696" s="11">
        <f t="shared" si="43"/>
        <v>0</v>
      </c>
      <c r="G696">
        <f ca="1">SUM($F$2:F696)/E696</f>
        <v>112.50476368593951</v>
      </c>
      <c r="I696">
        <v>694</v>
      </c>
      <c r="J696">
        <f t="shared" si="44"/>
        <v>0</v>
      </c>
      <c r="K696">
        <f ca="1">SUM($J$2:J696)/I696</f>
        <v>110.54022797252237</v>
      </c>
      <c r="M696">
        <v>694</v>
      </c>
      <c r="N696">
        <f t="shared" si="45"/>
        <v>0</v>
      </c>
      <c r="O696">
        <f ca="1">SUM($N$2:N696)/M696</f>
        <v>112.50476368593951</v>
      </c>
    </row>
    <row r="697" spans="1:15" x14ac:dyDescent="0.2">
      <c r="A697">
        <v>695</v>
      </c>
      <c r="B697" s="11">
        <f t="shared" si="42"/>
        <v>0</v>
      </c>
      <c r="C697">
        <f ca="1">SUM($B$2:B697)/A697</f>
        <v>110.38117728479213</v>
      </c>
      <c r="E697">
        <v>695</v>
      </c>
      <c r="F697" s="11">
        <f t="shared" si="43"/>
        <v>0</v>
      </c>
      <c r="G697">
        <f ca="1">SUM($F$2:F697)/E697</f>
        <v>112.34288632811801</v>
      </c>
      <c r="I697">
        <v>695</v>
      </c>
      <c r="J697">
        <f t="shared" si="44"/>
        <v>0</v>
      </c>
      <c r="K697">
        <f ca="1">SUM($J$2:J697)/I697</f>
        <v>110.38117728479213</v>
      </c>
      <c r="M697">
        <v>695</v>
      </c>
      <c r="N697">
        <f t="shared" si="45"/>
        <v>0</v>
      </c>
      <c r="O697">
        <f ca="1">SUM($N$2:N697)/M697</f>
        <v>112.34288632811801</v>
      </c>
    </row>
    <row r="698" spans="1:15" x14ac:dyDescent="0.2">
      <c r="A698">
        <v>696</v>
      </c>
      <c r="B698" s="11">
        <f t="shared" si="42"/>
        <v>0</v>
      </c>
      <c r="C698">
        <f ca="1">SUM($B$2:B698)/A698</f>
        <v>110.222583639268</v>
      </c>
      <c r="E698">
        <v>696</v>
      </c>
      <c r="F698" s="11">
        <f t="shared" si="43"/>
        <v>0</v>
      </c>
      <c r="G698">
        <f ca="1">SUM($F$2:F698)/E698</f>
        <v>112.18147413511785</v>
      </c>
      <c r="I698">
        <v>696</v>
      </c>
      <c r="J698">
        <f t="shared" si="44"/>
        <v>0</v>
      </c>
      <c r="K698">
        <f ca="1">SUM($J$2:J698)/I698</f>
        <v>110.222583639268</v>
      </c>
      <c r="M698">
        <v>696</v>
      </c>
      <c r="N698">
        <f t="shared" si="45"/>
        <v>0</v>
      </c>
      <c r="O698">
        <f ca="1">SUM($N$2:N698)/M698</f>
        <v>112.18147413511785</v>
      </c>
    </row>
    <row r="699" spans="1:15" x14ac:dyDescent="0.2">
      <c r="A699">
        <v>697</v>
      </c>
      <c r="B699" s="11">
        <f t="shared" si="42"/>
        <v>0</v>
      </c>
      <c r="C699">
        <f ca="1">SUM($B$2:B699)/A699</f>
        <v>110.0644450687669</v>
      </c>
      <c r="E699">
        <v>697</v>
      </c>
      <c r="F699" s="11">
        <f t="shared" si="43"/>
        <v>0</v>
      </c>
      <c r="G699">
        <f ca="1">SUM($F$2:F699)/E699</f>
        <v>112.02052510479487</v>
      </c>
      <c r="I699">
        <v>697</v>
      </c>
      <c r="J699">
        <f t="shared" si="44"/>
        <v>0</v>
      </c>
      <c r="K699">
        <f ca="1">SUM($J$2:J699)/I699</f>
        <v>110.0644450687669</v>
      </c>
      <c r="M699">
        <v>697</v>
      </c>
      <c r="N699">
        <f t="shared" si="45"/>
        <v>0</v>
      </c>
      <c r="O699">
        <f ca="1">SUM($N$2:N699)/M699</f>
        <v>112.02052510479487</v>
      </c>
    </row>
    <row r="700" spans="1:15" x14ac:dyDescent="0.2">
      <c r="A700">
        <v>698</v>
      </c>
      <c r="B700" s="11">
        <f t="shared" si="42"/>
        <v>0</v>
      </c>
      <c r="C700">
        <f ca="1">SUM($B$2:B700)/A700</f>
        <v>109.90675961737898</v>
      </c>
      <c r="E700">
        <v>698</v>
      </c>
      <c r="F700" s="11">
        <f t="shared" si="43"/>
        <v>0</v>
      </c>
      <c r="G700">
        <f ca="1">SUM($F$2:F700)/E700</f>
        <v>111.86003724647854</v>
      </c>
      <c r="I700">
        <v>698</v>
      </c>
      <c r="J700">
        <f t="shared" si="44"/>
        <v>0</v>
      </c>
      <c r="K700">
        <f ca="1">SUM($J$2:J700)/I700</f>
        <v>109.90675961737898</v>
      </c>
      <c r="M700">
        <v>698</v>
      </c>
      <c r="N700">
        <f t="shared" si="45"/>
        <v>0</v>
      </c>
      <c r="O700">
        <f ca="1">SUM($N$2:N700)/M700</f>
        <v>111.86003724647854</v>
      </c>
    </row>
    <row r="701" spans="1:15" x14ac:dyDescent="0.2">
      <c r="A701">
        <v>699</v>
      </c>
      <c r="B701" s="11">
        <f t="shared" si="42"/>
        <v>0</v>
      </c>
      <c r="C701">
        <f ca="1">SUM($B$2:B701)/A701</f>
        <v>109.74952534038702</v>
      </c>
      <c r="E701">
        <v>699</v>
      </c>
      <c r="F701" s="11">
        <f t="shared" si="43"/>
        <v>0</v>
      </c>
      <c r="G701">
        <f ca="1">SUM($F$2:F701)/E701</f>
        <v>111.70000858088987</v>
      </c>
      <c r="I701">
        <v>699</v>
      </c>
      <c r="J701">
        <f t="shared" si="44"/>
        <v>0</v>
      </c>
      <c r="K701">
        <f ca="1">SUM($J$2:J701)/I701</f>
        <v>109.74952534038702</v>
      </c>
      <c r="M701">
        <v>699</v>
      </c>
      <c r="N701">
        <f t="shared" si="45"/>
        <v>0</v>
      </c>
      <c r="O701">
        <f ca="1">SUM($N$2:N701)/M701</f>
        <v>111.70000858088987</v>
      </c>
    </row>
    <row r="702" spans="1:15" x14ac:dyDescent="0.2">
      <c r="A702">
        <v>700</v>
      </c>
      <c r="B702" s="11">
        <f t="shared" si="42"/>
        <v>0</v>
      </c>
      <c r="C702">
        <f ca="1">SUM($B$2:B702)/A702</f>
        <v>109.59274030418646</v>
      </c>
      <c r="E702">
        <v>700</v>
      </c>
      <c r="F702" s="11">
        <f t="shared" si="43"/>
        <v>0</v>
      </c>
      <c r="G702">
        <f ca="1">SUM($F$2:F702)/E702</f>
        <v>111.54043714006004</v>
      </c>
      <c r="I702">
        <v>700</v>
      </c>
      <c r="J702">
        <f t="shared" si="44"/>
        <v>0</v>
      </c>
      <c r="K702">
        <f ca="1">SUM($J$2:J702)/I702</f>
        <v>109.59274030418646</v>
      </c>
      <c r="M702">
        <v>700</v>
      </c>
      <c r="N702">
        <f t="shared" si="45"/>
        <v>0</v>
      </c>
      <c r="O702">
        <f ca="1">SUM($N$2:N702)/M702</f>
        <v>111.54043714006004</v>
      </c>
    </row>
    <row r="703" spans="1:15" x14ac:dyDescent="0.2">
      <c r="A703">
        <v>701</v>
      </c>
      <c r="B703" s="11">
        <f t="shared" si="42"/>
        <v>0</v>
      </c>
      <c r="C703">
        <f ca="1">SUM($B$2:B703)/A703</f>
        <v>109.43640258620617</v>
      </c>
      <c r="E703">
        <v>701</v>
      </c>
      <c r="F703" s="11">
        <f t="shared" si="43"/>
        <v>0</v>
      </c>
      <c r="G703">
        <f ca="1">SUM($F$2:F703)/E703</f>
        <v>111.38132096724968</v>
      </c>
      <c r="I703">
        <v>701</v>
      </c>
      <c r="J703">
        <f t="shared" si="44"/>
        <v>0</v>
      </c>
      <c r="K703">
        <f ca="1">SUM($J$2:J703)/I703</f>
        <v>109.43640258620617</v>
      </c>
      <c r="M703">
        <v>701</v>
      </c>
      <c r="N703">
        <f t="shared" si="45"/>
        <v>0</v>
      </c>
      <c r="O703">
        <f ca="1">SUM($N$2:N703)/M703</f>
        <v>111.38132096724968</v>
      </c>
    </row>
    <row r="704" spans="1:15" x14ac:dyDescent="0.2">
      <c r="A704">
        <v>702</v>
      </c>
      <c r="B704" s="11">
        <f t="shared" si="42"/>
        <v>0</v>
      </c>
      <c r="C704">
        <f ca="1">SUM($B$2:B704)/A704</f>
        <v>109.28051027482981</v>
      </c>
      <c r="E704">
        <v>702</v>
      </c>
      <c r="F704" s="11">
        <f t="shared" si="43"/>
        <v>0</v>
      </c>
      <c r="G704">
        <f ca="1">SUM($F$2:F704)/E704</f>
        <v>111.22265811686897</v>
      </c>
      <c r="I704">
        <v>702</v>
      </c>
      <c r="J704">
        <f t="shared" si="44"/>
        <v>0</v>
      </c>
      <c r="K704">
        <f ca="1">SUM($J$2:J704)/I704</f>
        <v>109.28051027482981</v>
      </c>
      <c r="M704">
        <v>702</v>
      </c>
      <c r="N704">
        <f t="shared" si="45"/>
        <v>0</v>
      </c>
      <c r="O704">
        <f ca="1">SUM($N$2:N704)/M704</f>
        <v>111.22265811686897</v>
      </c>
    </row>
    <row r="705" spans="1:15" x14ac:dyDescent="0.2">
      <c r="A705">
        <v>703</v>
      </c>
      <c r="B705" s="11">
        <f t="shared" si="42"/>
        <v>0</v>
      </c>
      <c r="C705">
        <f ca="1">SUM($B$2:B705)/A705</f>
        <v>109.12506146931796</v>
      </c>
      <c r="E705">
        <v>703</v>
      </c>
      <c r="F705" s="11">
        <f t="shared" si="43"/>
        <v>0</v>
      </c>
      <c r="G705">
        <f ca="1">SUM($F$2:F705)/E705</f>
        <v>111.06444665439832</v>
      </c>
      <c r="I705">
        <v>703</v>
      </c>
      <c r="J705">
        <f t="shared" si="44"/>
        <v>0</v>
      </c>
      <c r="K705">
        <f ca="1">SUM($J$2:J705)/I705</f>
        <v>109.12506146931796</v>
      </c>
      <c r="M705">
        <v>703</v>
      </c>
      <c r="N705">
        <f t="shared" si="45"/>
        <v>0</v>
      </c>
      <c r="O705">
        <f ca="1">SUM($N$2:N705)/M705</f>
        <v>111.06444665439832</v>
      </c>
    </row>
    <row r="706" spans="1:15" x14ac:dyDescent="0.2">
      <c r="A706">
        <v>704</v>
      </c>
      <c r="B706" s="11">
        <f t="shared" si="42"/>
        <v>0</v>
      </c>
      <c r="C706">
        <f ca="1">SUM($B$2:B706)/A706</f>
        <v>108.97005427973086</v>
      </c>
      <c r="E706">
        <v>704</v>
      </c>
      <c r="F706" s="11">
        <f t="shared" si="43"/>
        <v>0</v>
      </c>
      <c r="G706">
        <f ca="1">SUM($F$2:F706)/E706</f>
        <v>110.90668465630969</v>
      </c>
      <c r="I706">
        <v>704</v>
      </c>
      <c r="J706">
        <f t="shared" si="44"/>
        <v>0</v>
      </c>
      <c r="K706">
        <f ca="1">SUM($J$2:J706)/I706</f>
        <v>108.97005427973086</v>
      </c>
      <c r="M706">
        <v>704</v>
      </c>
      <c r="N706">
        <f t="shared" si="45"/>
        <v>0</v>
      </c>
      <c r="O706">
        <f ca="1">SUM($N$2:N706)/M706</f>
        <v>110.90668465630969</v>
      </c>
    </row>
    <row r="707" spans="1:15" x14ac:dyDescent="0.2">
      <c r="A707">
        <v>705</v>
      </c>
      <c r="B707" s="11">
        <f t="shared" ref="B707:B770" si="46">IF(ARCap-IF((A707-IF(A707/180&gt;1,ROUNDDOWN(A707/180,0)*180,0))/30&lt;=1,IF(200*15*BaseSpeed/60*(YellowConnects+WhiteMHConnects+WhiteOHConnects+HoJConnects+WindfuryConnects+SSConnects+IronfoeConnects)*(A707-180*ROUNDDOWN(A707/180,0))&gt;1200,1200,200*15*BaseSpeed/60*(YellowConnects+WhiteMHConnects+WhiteOHConnects+HoJConnects+WindfuryConnects+SSConnects+IronfoeConnects)*(A707-180*ROUNDDOWN(A707/180,0))),0)&lt;0,ARCap,IF((A707-IF(A707/180&gt;1,ROUNDDOWN(A706/180,0)*180,0))/30&lt;=1,IF(200*15*BaseSpeed/60*(YellowConnects+WhiteMHConnects+WhiteOHConnects+HoJConnects+WindfuryConnects+SSConnects+IronfoeConnects)*(A707-180*ROUNDDOWN(A707/180,0))&gt;1200,1200,200*15*BaseSpeed/60*(YellowConnects+WhiteMHConnects+WhiteOHConnects+HoJConnects+WindfuryConnects+SSConnects+IronfoeConnects)*(A707-180*ROUNDDOWN(A707/180,0))),0))</f>
        <v>0</v>
      </c>
      <c r="C707">
        <f ca="1">SUM($B$2:B707)/A707</f>
        <v>108.81548682685181</v>
      </c>
      <c r="E707">
        <v>705</v>
      </c>
      <c r="F707" s="11">
        <f t="shared" ref="F707:F770" si="47">IF(ARCap-IF((A707-IF(A707/180&gt;1,ROUNDDOWN(A707/180,0)*180,0))/30&lt;=1,IF(200*15*BaseSpeed/60*(YellowConnects20+WhiteMHConnects20+WhiteOHConnects20+HoJConnects20+WindfuryConnects20+SSConnects20+IronfoeConnects20)*(A707-180*ROUNDDOWN(A707/180,0))&gt;1200,1200,200*15*BaseSpeed/60*(YellowConnects20+WhiteMHConnects20+WhiteOHConnects20+HoJConnects20+WindfuryConnects20+SSConnects20+IronfoeConnects20)*(A707-180*ROUNDDOWN(A707/180,0))),0)&lt;0,ARCap,IF((A707-IF(A707/180&gt;1,ROUNDDOWN(A707/180,0)*180,0))/30&lt;=1,IF(200*15*BaseSpeed/60*(YellowConnects20+WhiteMHConnects20+WhiteOHConnects20+HoJConnects20+WindfuryConnects20+SSConnects20+IronfoeConnects20)*(A707-180*ROUNDDOWN(A707/180,0))&gt;1200,1200,200*15*BaseSpeed/60*(YellowConnects20+WhiteMHConnects20+WhiteOHConnects20+HoJConnects20+WindfuryConnects20+SSConnects20+IronfoeConnects20)*(A707-180*ROUNDDOWN(A707/180,0))),0))</f>
        <v>0</v>
      </c>
      <c r="G707">
        <f ca="1">SUM($F$2:F707)/E707</f>
        <v>110.74937020998868</v>
      </c>
      <c r="I707">
        <v>705</v>
      </c>
      <c r="J707">
        <f t="shared" ref="J707:J770" si="48">IF(ARCap-(B707+BRE)&lt;0,ARCap,B707+BRE)</f>
        <v>0</v>
      </c>
      <c r="K707">
        <f ca="1">SUM($J$2:J707)/I707</f>
        <v>108.81548682685181</v>
      </c>
      <c r="M707">
        <v>705</v>
      </c>
      <c r="N707">
        <f t="shared" ref="N707:N770" si="49">IF(ARCap-(F707+BREArmorReduction20)&lt;0,ARCap,F707+BREArmorReduction20)</f>
        <v>0</v>
      </c>
      <c r="O707">
        <f ca="1">SUM($N$2:N707)/M707</f>
        <v>110.74937020998868</v>
      </c>
    </row>
    <row r="708" spans="1:15" x14ac:dyDescent="0.2">
      <c r="A708">
        <v>706</v>
      </c>
      <c r="B708" s="11">
        <f t="shared" si="46"/>
        <v>0</v>
      </c>
      <c r="C708">
        <f ca="1">SUM($B$2:B708)/A708</f>
        <v>108.66135724211122</v>
      </c>
      <c r="E708">
        <v>706</v>
      </c>
      <c r="F708" s="11">
        <f t="shared" si="47"/>
        <v>0</v>
      </c>
      <c r="G708">
        <f ca="1">SUM($F$2:F708)/E708</f>
        <v>110.59250141365726</v>
      </c>
      <c r="I708">
        <v>706</v>
      </c>
      <c r="J708">
        <f t="shared" si="48"/>
        <v>0</v>
      </c>
      <c r="K708">
        <f ca="1">SUM($J$2:J708)/I708</f>
        <v>108.66135724211122</v>
      </c>
      <c r="M708">
        <v>706</v>
      </c>
      <c r="N708">
        <f t="shared" si="49"/>
        <v>0</v>
      </c>
      <c r="O708">
        <f ca="1">SUM($N$2:N708)/M708</f>
        <v>110.59250141365726</v>
      </c>
    </row>
    <row r="709" spans="1:15" x14ac:dyDescent="0.2">
      <c r="A709">
        <v>707</v>
      </c>
      <c r="B709" s="11">
        <f t="shared" si="46"/>
        <v>0</v>
      </c>
      <c r="C709">
        <f ca="1">SUM($B$2:B709)/A709</f>
        <v>108.50766366751135</v>
      </c>
      <c r="E709">
        <v>707</v>
      </c>
      <c r="F709" s="11">
        <f t="shared" si="47"/>
        <v>0</v>
      </c>
      <c r="G709">
        <f ca="1">SUM($F$2:F709)/E709</f>
        <v>110.43607637629707</v>
      </c>
      <c r="I709">
        <v>707</v>
      </c>
      <c r="J709">
        <f t="shared" si="48"/>
        <v>0</v>
      </c>
      <c r="K709">
        <f ca="1">SUM($J$2:J709)/I709</f>
        <v>108.50766366751135</v>
      </c>
      <c r="M709">
        <v>707</v>
      </c>
      <c r="N709">
        <f t="shared" si="49"/>
        <v>0</v>
      </c>
      <c r="O709">
        <f ca="1">SUM($N$2:N709)/M709</f>
        <v>110.43607637629707</v>
      </c>
    </row>
    <row r="710" spans="1:15" x14ac:dyDescent="0.2">
      <c r="A710">
        <v>708</v>
      </c>
      <c r="B710" s="11">
        <f t="shared" si="46"/>
        <v>0</v>
      </c>
      <c r="C710">
        <f ca="1">SUM($B$2:B710)/A710</f>
        <v>108.35440425555159</v>
      </c>
      <c r="E710">
        <v>708</v>
      </c>
      <c r="F710" s="11">
        <f t="shared" si="47"/>
        <v>0</v>
      </c>
      <c r="G710">
        <f ca="1">SUM($F$2:F710)/E710</f>
        <v>110.28009321757348</v>
      </c>
      <c r="I710">
        <v>708</v>
      </c>
      <c r="J710">
        <f t="shared" si="48"/>
        <v>0</v>
      </c>
      <c r="K710">
        <f ca="1">SUM($J$2:J710)/I710</f>
        <v>108.35440425555159</v>
      </c>
      <c r="M710">
        <v>708</v>
      </c>
      <c r="N710">
        <f t="shared" si="49"/>
        <v>0</v>
      </c>
      <c r="O710">
        <f ca="1">SUM($N$2:N710)/M710</f>
        <v>110.28009321757348</v>
      </c>
    </row>
    <row r="711" spans="1:15" x14ac:dyDescent="0.2">
      <c r="A711">
        <v>709</v>
      </c>
      <c r="B711" s="11">
        <f t="shared" si="46"/>
        <v>0</v>
      </c>
      <c r="C711">
        <f ca="1">SUM($B$2:B711)/A711</f>
        <v>108.20157716915448</v>
      </c>
      <c r="E711">
        <v>709</v>
      </c>
      <c r="F711" s="11">
        <f t="shared" si="47"/>
        <v>0</v>
      </c>
      <c r="G711">
        <f ca="1">SUM($F$2:F711)/E711</f>
        <v>110.12455006776025</v>
      </c>
      <c r="I711">
        <v>709</v>
      </c>
      <c r="J711">
        <f t="shared" si="48"/>
        <v>0</v>
      </c>
      <c r="K711">
        <f ca="1">SUM($J$2:J711)/I711</f>
        <v>108.20157716915448</v>
      </c>
      <c r="M711">
        <v>709</v>
      </c>
      <c r="N711">
        <f t="shared" si="49"/>
        <v>0</v>
      </c>
      <c r="O711">
        <f ca="1">SUM($N$2:N711)/M711</f>
        <v>110.12455006776025</v>
      </c>
    </row>
    <row r="712" spans="1:15" x14ac:dyDescent="0.2">
      <c r="A712">
        <v>710</v>
      </c>
      <c r="B712" s="11">
        <f t="shared" si="46"/>
        <v>0</v>
      </c>
      <c r="C712">
        <f ca="1">SUM($B$2:B712)/A712</f>
        <v>108.0491805815923</v>
      </c>
      <c r="E712">
        <v>710</v>
      </c>
      <c r="F712" s="11">
        <f t="shared" si="47"/>
        <v>0</v>
      </c>
      <c r="G712">
        <f ca="1">SUM($F$2:F712)/E712</f>
        <v>109.96944506766482</v>
      </c>
      <c r="I712">
        <v>710</v>
      </c>
      <c r="J712">
        <f t="shared" si="48"/>
        <v>0</v>
      </c>
      <c r="K712">
        <f ca="1">SUM($J$2:J712)/I712</f>
        <v>108.0491805815923</v>
      </c>
      <c r="M712">
        <v>710</v>
      </c>
      <c r="N712">
        <f t="shared" si="49"/>
        <v>0</v>
      </c>
      <c r="O712">
        <f ca="1">SUM($N$2:N712)/M712</f>
        <v>109.96944506766482</v>
      </c>
    </row>
    <row r="713" spans="1:15" x14ac:dyDescent="0.2">
      <c r="A713">
        <v>711</v>
      </c>
      <c r="B713" s="11">
        <f t="shared" si="46"/>
        <v>0</v>
      </c>
      <c r="C713">
        <f ca="1">SUM($B$2:B713)/A713</f>
        <v>107.89721267641424</v>
      </c>
      <c r="E713">
        <v>711</v>
      </c>
      <c r="F713" s="11">
        <f t="shared" si="47"/>
        <v>0</v>
      </c>
      <c r="G713">
        <f ca="1">SUM($F$2:F713)/E713</f>
        <v>109.81477636855418</v>
      </c>
      <c r="I713">
        <v>711</v>
      </c>
      <c r="J713">
        <f t="shared" si="48"/>
        <v>0</v>
      </c>
      <c r="K713">
        <f ca="1">SUM($J$2:J713)/I713</f>
        <v>107.89721267641424</v>
      </c>
      <c r="M713">
        <v>711</v>
      </c>
      <c r="N713">
        <f t="shared" si="49"/>
        <v>0</v>
      </c>
      <c r="O713">
        <f ca="1">SUM($N$2:N713)/M713</f>
        <v>109.81477636855418</v>
      </c>
    </row>
    <row r="714" spans="1:15" x14ac:dyDescent="0.2">
      <c r="A714">
        <v>712</v>
      </c>
      <c r="B714" s="11">
        <f t="shared" si="46"/>
        <v>0</v>
      </c>
      <c r="C714">
        <f ca="1">SUM($B$2:B714)/A714</f>
        <v>107.74567164737434</v>
      </c>
      <c r="E714">
        <v>712</v>
      </c>
      <c r="F714" s="11">
        <f t="shared" si="47"/>
        <v>0</v>
      </c>
      <c r="G714">
        <f ca="1">SUM($F$2:F714)/E714</f>
        <v>109.66054213208149</v>
      </c>
      <c r="I714">
        <v>712</v>
      </c>
      <c r="J714">
        <f t="shared" si="48"/>
        <v>0</v>
      </c>
      <c r="K714">
        <f ca="1">SUM($J$2:J714)/I714</f>
        <v>107.74567164737434</v>
      </c>
      <c r="M714">
        <v>712</v>
      </c>
      <c r="N714">
        <f t="shared" si="49"/>
        <v>0</v>
      </c>
      <c r="O714">
        <f ca="1">SUM($N$2:N714)/M714</f>
        <v>109.66054213208149</v>
      </c>
    </row>
    <row r="715" spans="1:15" x14ac:dyDescent="0.2">
      <c r="A715">
        <v>713</v>
      </c>
      <c r="B715" s="11">
        <f t="shared" si="46"/>
        <v>0</v>
      </c>
      <c r="C715">
        <f ca="1">SUM($B$2:B715)/A715</f>
        <v>107.59455569835978</v>
      </c>
      <c r="E715">
        <v>713</v>
      </c>
      <c r="F715" s="11">
        <f t="shared" si="47"/>
        <v>0</v>
      </c>
      <c r="G715">
        <f ca="1">SUM($F$2:F715)/E715</f>
        <v>109.50674053021322</v>
      </c>
      <c r="I715">
        <v>713</v>
      </c>
      <c r="J715">
        <f t="shared" si="48"/>
        <v>0</v>
      </c>
      <c r="K715">
        <f ca="1">SUM($J$2:J715)/I715</f>
        <v>107.59455569835978</v>
      </c>
      <c r="M715">
        <v>713</v>
      </c>
      <c r="N715">
        <f t="shared" si="49"/>
        <v>0</v>
      </c>
      <c r="O715">
        <f ca="1">SUM($N$2:N715)/M715</f>
        <v>109.50674053021322</v>
      </c>
    </row>
    <row r="716" spans="1:15" x14ac:dyDescent="0.2">
      <c r="A716">
        <v>714</v>
      </c>
      <c r="B716" s="11">
        <f t="shared" si="46"/>
        <v>0</v>
      </c>
      <c r="C716">
        <f ca="1">SUM($B$2:B716)/A716</f>
        <v>107.44386304332006</v>
      </c>
      <c r="E716">
        <v>714</v>
      </c>
      <c r="F716" s="11">
        <f t="shared" si="47"/>
        <v>0</v>
      </c>
      <c r="G716">
        <f ca="1">SUM($F$2:F716)/E716</f>
        <v>109.3533697451569</v>
      </c>
      <c r="I716">
        <v>714</v>
      </c>
      <c r="J716">
        <f t="shared" si="48"/>
        <v>0</v>
      </c>
      <c r="K716">
        <f ca="1">SUM($J$2:J716)/I716</f>
        <v>107.44386304332006</v>
      </c>
      <c r="M716">
        <v>714</v>
      </c>
      <c r="N716">
        <f t="shared" si="49"/>
        <v>0</v>
      </c>
      <c r="O716">
        <f ca="1">SUM($N$2:N716)/M716</f>
        <v>109.3533697451569</v>
      </c>
    </row>
    <row r="717" spans="1:15" x14ac:dyDescent="0.2">
      <c r="A717">
        <v>715</v>
      </c>
      <c r="B717" s="11">
        <f t="shared" si="46"/>
        <v>0</v>
      </c>
      <c r="C717">
        <f ca="1">SUM($B$2:B717)/A717</f>
        <v>107.29359190619654</v>
      </c>
      <c r="E717">
        <v>715</v>
      </c>
      <c r="F717" s="11">
        <f t="shared" si="47"/>
        <v>0</v>
      </c>
      <c r="G717">
        <f ca="1">SUM($F$2:F717)/E717</f>
        <v>109.20042796928954</v>
      </c>
      <c r="I717">
        <v>715</v>
      </c>
      <c r="J717">
        <f t="shared" si="48"/>
        <v>0</v>
      </c>
      <c r="K717">
        <f ca="1">SUM($J$2:J717)/I717</f>
        <v>107.29359190619654</v>
      </c>
      <c r="M717">
        <v>715</v>
      </c>
      <c r="N717">
        <f t="shared" si="49"/>
        <v>0</v>
      </c>
      <c r="O717">
        <f ca="1">SUM($N$2:N717)/M717</f>
        <v>109.20042796928954</v>
      </c>
    </row>
    <row r="718" spans="1:15" x14ac:dyDescent="0.2">
      <c r="A718">
        <v>716</v>
      </c>
      <c r="B718" s="11">
        <f t="shared" si="46"/>
        <v>0</v>
      </c>
      <c r="C718">
        <f ca="1">SUM($B$2:B718)/A718</f>
        <v>107.14374052085269</v>
      </c>
      <c r="E718">
        <v>716</v>
      </c>
      <c r="F718" s="11">
        <f t="shared" si="47"/>
        <v>0</v>
      </c>
      <c r="G718">
        <f ca="1">SUM($F$2:F718)/E718</f>
        <v>109.04791340508662</v>
      </c>
      <c r="I718">
        <v>716</v>
      </c>
      <c r="J718">
        <f t="shared" si="48"/>
        <v>0</v>
      </c>
      <c r="K718">
        <f ca="1">SUM($J$2:J718)/I718</f>
        <v>107.14374052085269</v>
      </c>
      <c r="M718">
        <v>716</v>
      </c>
      <c r="N718">
        <f t="shared" si="49"/>
        <v>0</v>
      </c>
      <c r="O718">
        <f ca="1">SUM($N$2:N718)/M718</f>
        <v>109.04791340508662</v>
      </c>
    </row>
    <row r="719" spans="1:15" x14ac:dyDescent="0.2">
      <c r="A719">
        <v>717</v>
      </c>
      <c r="B719" s="11">
        <f t="shared" si="46"/>
        <v>0</v>
      </c>
      <c r="C719">
        <f ca="1">SUM($B$2:B719)/A719</f>
        <v>106.99430713100492</v>
      </c>
      <c r="E719">
        <v>717</v>
      </c>
      <c r="F719" s="11">
        <f t="shared" si="47"/>
        <v>0</v>
      </c>
      <c r="G719">
        <f ca="1">SUM($F$2:F719)/E719</f>
        <v>108.89582426505163</v>
      </c>
      <c r="I719">
        <v>717</v>
      </c>
      <c r="J719">
        <f t="shared" si="48"/>
        <v>0</v>
      </c>
      <c r="K719">
        <f ca="1">SUM($J$2:J719)/I719</f>
        <v>106.99430713100492</v>
      </c>
      <c r="M719">
        <v>717</v>
      </c>
      <c r="N719">
        <f t="shared" si="49"/>
        <v>0</v>
      </c>
      <c r="O719">
        <f ca="1">SUM($N$2:N719)/M719</f>
        <v>108.89582426505163</v>
      </c>
    </row>
    <row r="720" spans="1:15" x14ac:dyDescent="0.2">
      <c r="A720">
        <v>718</v>
      </c>
      <c r="B720" s="11">
        <f t="shared" si="46"/>
        <v>0</v>
      </c>
      <c r="C720">
        <f ca="1">SUM($B$2:B720)/A720</f>
        <v>106.84528999015393</v>
      </c>
      <c r="E720">
        <v>718</v>
      </c>
      <c r="F720" s="11">
        <f t="shared" si="47"/>
        <v>0</v>
      </c>
      <c r="G720">
        <f ca="1">SUM($F$2:F720)/E720</f>
        <v>108.74415877164627</v>
      </c>
      <c r="I720">
        <v>718</v>
      </c>
      <c r="J720">
        <f t="shared" si="48"/>
        <v>0</v>
      </c>
      <c r="K720">
        <f ca="1">SUM($J$2:J720)/I720</f>
        <v>106.84528999015393</v>
      </c>
      <c r="M720">
        <v>718</v>
      </c>
      <c r="N720">
        <f t="shared" si="49"/>
        <v>0</v>
      </c>
      <c r="O720">
        <f ca="1">SUM($N$2:N720)/M720</f>
        <v>108.74415877164627</v>
      </c>
    </row>
    <row r="721" spans="1:15" x14ac:dyDescent="0.2">
      <c r="A721">
        <v>719</v>
      </c>
      <c r="B721" s="11">
        <f t="shared" si="46"/>
        <v>0</v>
      </c>
      <c r="C721">
        <f ca="1">SUM($B$2:B721)/A721</f>
        <v>106.69668736151672</v>
      </c>
      <c r="E721">
        <v>719</v>
      </c>
      <c r="F721" s="11">
        <f t="shared" si="47"/>
        <v>0</v>
      </c>
      <c r="G721">
        <f ca="1">SUM($F$2:F721)/E721</f>
        <v>108.59291515722117</v>
      </c>
      <c r="I721">
        <v>719</v>
      </c>
      <c r="J721">
        <f t="shared" si="48"/>
        <v>0</v>
      </c>
      <c r="K721">
        <f ca="1">SUM($J$2:J721)/I721</f>
        <v>106.69668736151672</v>
      </c>
      <c r="M721">
        <v>719</v>
      </c>
      <c r="N721">
        <f t="shared" si="49"/>
        <v>0</v>
      </c>
      <c r="O721">
        <f ca="1">SUM($N$2:N721)/M721</f>
        <v>108.59291515722117</v>
      </c>
    </row>
    <row r="722" spans="1:15" x14ac:dyDescent="0.2">
      <c r="A722">
        <v>720</v>
      </c>
      <c r="B722" s="11">
        <f t="shared" ca="1" si="46"/>
        <v>0</v>
      </c>
      <c r="C722">
        <f ca="1">SUM($B$2:B722)/A722</f>
        <v>106.54849751795906</v>
      </c>
      <c r="E722">
        <v>720</v>
      </c>
      <c r="F722" s="11">
        <f t="shared" ca="1" si="47"/>
        <v>0</v>
      </c>
      <c r="G722">
        <f ca="1">SUM($F$2:F722)/E722</f>
        <v>108.44209166394725</v>
      </c>
      <c r="I722">
        <v>720</v>
      </c>
      <c r="J722">
        <f t="shared" ca="1" si="48"/>
        <v>0</v>
      </c>
      <c r="K722">
        <f ca="1">SUM($J$2:J722)/I722</f>
        <v>106.54849751795906</v>
      </c>
      <c r="M722">
        <v>720</v>
      </c>
      <c r="N722">
        <f t="shared" ca="1" si="49"/>
        <v>0</v>
      </c>
      <c r="O722">
        <f ca="1">SUM($N$2:N722)/M722</f>
        <v>108.44209166394725</v>
      </c>
    </row>
    <row r="723" spans="1:15" x14ac:dyDescent="0.2">
      <c r="A723">
        <v>721</v>
      </c>
      <c r="B723" s="11">
        <f t="shared" ca="1" si="46"/>
        <v>118.58197021550885</v>
      </c>
      <c r="C723">
        <f ca="1">SUM($B$2:B723)/A723</f>
        <v>106.56518749396122</v>
      </c>
      <c r="E723">
        <v>721</v>
      </c>
      <c r="F723" s="11">
        <f t="shared" ca="1" si="47"/>
        <v>142.35764995105063</v>
      </c>
      <c r="G723">
        <f ca="1">SUM($F$2:F723)/E723</f>
        <v>108.48913127322201</v>
      </c>
      <c r="I723">
        <v>721</v>
      </c>
      <c r="J723">
        <f t="shared" ca="1" si="48"/>
        <v>118.58197021550885</v>
      </c>
      <c r="K723">
        <f ca="1">SUM($J$2:J723)/I723</f>
        <v>106.56518749396122</v>
      </c>
      <c r="M723">
        <v>721</v>
      </c>
      <c r="N723">
        <f t="shared" ca="1" si="49"/>
        <v>142.35764995105063</v>
      </c>
      <c r="O723">
        <f ca="1">SUM($N$2:N723)/M723</f>
        <v>108.48913127322201</v>
      </c>
    </row>
    <row r="724" spans="1:15" x14ac:dyDescent="0.2">
      <c r="A724">
        <v>722</v>
      </c>
      <c r="B724" s="11">
        <f t="shared" ca="1" si="46"/>
        <v>237.16394043101769</v>
      </c>
      <c r="C724">
        <f ca="1">SUM($B$2:B724)/A724</f>
        <v>106.74607219332002</v>
      </c>
      <c r="E724">
        <v>722</v>
      </c>
      <c r="F724" s="11">
        <f t="shared" ca="1" si="47"/>
        <v>284.71529990210126</v>
      </c>
      <c r="G724">
        <f ca="1">SUM($F$2:F724)/E724</f>
        <v>108.73321183919001</v>
      </c>
      <c r="I724">
        <v>722</v>
      </c>
      <c r="J724">
        <f t="shared" ca="1" si="48"/>
        <v>237.16394043101769</v>
      </c>
      <c r="K724">
        <f ca="1">SUM($J$2:J724)/I724</f>
        <v>106.74607219332002</v>
      </c>
      <c r="M724">
        <v>722</v>
      </c>
      <c r="N724">
        <f t="shared" ca="1" si="49"/>
        <v>284.71529990210126</v>
      </c>
      <c r="O724">
        <f ca="1">SUM($N$2:N724)/M724</f>
        <v>108.73321183919001</v>
      </c>
    </row>
    <row r="725" spans="1:15" x14ac:dyDescent="0.2">
      <c r="A725">
        <v>723</v>
      </c>
      <c r="B725" s="11">
        <f t="shared" ca="1" si="46"/>
        <v>355.74591064652657</v>
      </c>
      <c r="C725">
        <f ca="1">SUM($B$2:B725)/A725</f>
        <v>107.09047031012943</v>
      </c>
      <c r="E725">
        <v>723</v>
      </c>
      <c r="F725" s="11">
        <f t="shared" ca="1" si="47"/>
        <v>427.0729498531519</v>
      </c>
      <c r="G725">
        <f ca="1">SUM($F$2:F725)/E725</f>
        <v>109.17351576452053</v>
      </c>
      <c r="I725">
        <v>723</v>
      </c>
      <c r="J725">
        <f t="shared" ca="1" si="48"/>
        <v>355.74591064652657</v>
      </c>
      <c r="K725">
        <f ca="1">SUM($J$2:J725)/I725</f>
        <v>107.09047031012943</v>
      </c>
      <c r="M725">
        <v>723</v>
      </c>
      <c r="N725">
        <f t="shared" ca="1" si="49"/>
        <v>427.0729498531519</v>
      </c>
      <c r="O725">
        <f ca="1">SUM($N$2:N725)/M725</f>
        <v>109.17351576452053</v>
      </c>
    </row>
    <row r="726" spans="1:15" x14ac:dyDescent="0.2">
      <c r="A726">
        <v>724</v>
      </c>
      <c r="B726" s="11">
        <f t="shared" ca="1" si="46"/>
        <v>474.32788086203539</v>
      </c>
      <c r="C726">
        <f ca="1">SUM($B$2:B726)/A726</f>
        <v>107.59770430260444</v>
      </c>
      <c r="E726">
        <v>724</v>
      </c>
      <c r="F726" s="11">
        <f t="shared" ca="1" si="47"/>
        <v>569.43059980420253</v>
      </c>
      <c r="G726">
        <f ca="1">SUM($F$2:F726)/E726</f>
        <v>109.80922996899521</v>
      </c>
      <c r="I726">
        <v>724</v>
      </c>
      <c r="J726">
        <f t="shared" ca="1" si="48"/>
        <v>474.32788086203539</v>
      </c>
      <c r="K726">
        <f ca="1">SUM($J$2:J726)/I726</f>
        <v>107.59770430260444</v>
      </c>
      <c r="M726">
        <v>724</v>
      </c>
      <c r="N726">
        <f t="shared" ca="1" si="49"/>
        <v>569.43059980420253</v>
      </c>
      <c r="O726">
        <f ca="1">SUM($N$2:N726)/M726</f>
        <v>109.80922996899521</v>
      </c>
    </row>
    <row r="727" spans="1:15" x14ac:dyDescent="0.2">
      <c r="A727">
        <v>725</v>
      </c>
      <c r="B727" s="11">
        <f t="shared" ca="1" si="46"/>
        <v>592.9098510775442</v>
      </c>
      <c r="C727">
        <f ca="1">SUM($B$2:B727)/A727</f>
        <v>108.26710036712161</v>
      </c>
      <c r="E727">
        <v>725</v>
      </c>
      <c r="F727" s="11">
        <f t="shared" ca="1" si="47"/>
        <v>696</v>
      </c>
      <c r="G727">
        <f ca="1">SUM($F$2:F727)/E727</f>
        <v>110.61776896214143</v>
      </c>
      <c r="I727">
        <v>725</v>
      </c>
      <c r="J727">
        <f t="shared" ca="1" si="48"/>
        <v>592.9098510775442</v>
      </c>
      <c r="K727">
        <f ca="1">SUM($J$2:J727)/I727</f>
        <v>108.26710036712161</v>
      </c>
      <c r="M727">
        <v>725</v>
      </c>
      <c r="N727">
        <f t="shared" ca="1" si="49"/>
        <v>696</v>
      </c>
      <c r="O727">
        <f ca="1">SUM($N$2:N727)/M727</f>
        <v>110.61776896214143</v>
      </c>
    </row>
    <row r="728" spans="1:15" x14ac:dyDescent="0.2">
      <c r="A728">
        <v>726</v>
      </c>
      <c r="B728" s="11">
        <f t="shared" ca="1" si="46"/>
        <v>696</v>
      </c>
      <c r="C728">
        <f ca="1">SUM($B$2:B728)/A728</f>
        <v>109.07664981565175</v>
      </c>
      <c r="E728">
        <v>726</v>
      </c>
      <c r="F728" s="11">
        <f t="shared" ca="1" si="47"/>
        <v>696</v>
      </c>
      <c r="G728">
        <f ca="1">SUM($F$2:F728)/E728</f>
        <v>111.42408057514123</v>
      </c>
      <c r="I728">
        <v>726</v>
      </c>
      <c r="J728">
        <f t="shared" ca="1" si="48"/>
        <v>696</v>
      </c>
      <c r="K728">
        <f ca="1">SUM($J$2:J728)/I728</f>
        <v>109.07664981565175</v>
      </c>
      <c r="M728">
        <v>726</v>
      </c>
      <c r="N728">
        <f t="shared" ca="1" si="49"/>
        <v>696</v>
      </c>
      <c r="O728">
        <f ca="1">SUM($N$2:N728)/M728</f>
        <v>111.42408057514123</v>
      </c>
    </row>
    <row r="729" spans="1:15" x14ac:dyDescent="0.2">
      <c r="A729">
        <v>727</v>
      </c>
      <c r="B729" s="11">
        <f t="shared" ca="1" si="46"/>
        <v>696</v>
      </c>
      <c r="C729">
        <f ca="1">SUM($B$2:B729)/A729</f>
        <v>109.88397216803736</v>
      </c>
      <c r="E729">
        <v>727</v>
      </c>
      <c r="F729" s="11">
        <f t="shared" ca="1" si="47"/>
        <v>696</v>
      </c>
      <c r="G729">
        <f ca="1">SUM($F$2:F729)/E729</f>
        <v>112.22817399938451</v>
      </c>
      <c r="I729">
        <v>727</v>
      </c>
      <c r="J729">
        <f t="shared" ca="1" si="48"/>
        <v>696</v>
      </c>
      <c r="K729">
        <f ca="1">SUM($J$2:J729)/I729</f>
        <v>109.88397216803736</v>
      </c>
      <c r="M729">
        <v>727</v>
      </c>
      <c r="N729">
        <f t="shared" ca="1" si="49"/>
        <v>696</v>
      </c>
      <c r="O729">
        <f ca="1">SUM($N$2:N729)/M729</f>
        <v>112.22817399938451</v>
      </c>
    </row>
    <row r="730" spans="1:15" x14ac:dyDescent="0.2">
      <c r="A730">
        <v>728</v>
      </c>
      <c r="B730" s="11">
        <f t="shared" ca="1" si="46"/>
        <v>696</v>
      </c>
      <c r="C730">
        <f ca="1">SUM($B$2:B730)/A730</f>
        <v>110.68907660187249</v>
      </c>
      <c r="E730">
        <v>728</v>
      </c>
      <c r="F730" s="11">
        <f t="shared" ca="1" si="47"/>
        <v>696</v>
      </c>
      <c r="G730">
        <f ca="1">SUM($F$2:F730)/E730</f>
        <v>113.03005837575898</v>
      </c>
      <c r="I730">
        <v>728</v>
      </c>
      <c r="J730">
        <f t="shared" ca="1" si="48"/>
        <v>696</v>
      </c>
      <c r="K730">
        <f ca="1">SUM($J$2:J730)/I730</f>
        <v>110.68907660187249</v>
      </c>
      <c r="M730">
        <v>728</v>
      </c>
      <c r="N730">
        <f t="shared" ca="1" si="49"/>
        <v>696</v>
      </c>
      <c r="O730">
        <f ca="1">SUM($N$2:N730)/M730</f>
        <v>113.03005837575898</v>
      </c>
    </row>
    <row r="731" spans="1:15" x14ac:dyDescent="0.2">
      <c r="A731">
        <v>729</v>
      </c>
      <c r="B731" s="11">
        <f t="shared" ca="1" si="46"/>
        <v>696</v>
      </c>
      <c r="C731">
        <f ca="1">SUM($B$2:B731)/A731</f>
        <v>111.49197224439392</v>
      </c>
      <c r="E731">
        <v>729</v>
      </c>
      <c r="F731" s="11">
        <f t="shared" ca="1" si="47"/>
        <v>696</v>
      </c>
      <c r="G731">
        <f ca="1">SUM($F$2:F731)/E731</f>
        <v>113.82974279499662</v>
      </c>
      <c r="I731">
        <v>729</v>
      </c>
      <c r="J731">
        <f t="shared" ca="1" si="48"/>
        <v>696</v>
      </c>
      <c r="K731">
        <f ca="1">SUM($J$2:J731)/I731</f>
        <v>111.49197224439392</v>
      </c>
      <c r="M731">
        <v>729</v>
      </c>
      <c r="N731">
        <f t="shared" ca="1" si="49"/>
        <v>696</v>
      </c>
      <c r="O731">
        <f ca="1">SUM($N$2:N731)/M731</f>
        <v>113.82974279499662</v>
      </c>
    </row>
    <row r="732" spans="1:15" x14ac:dyDescent="0.2">
      <c r="A732">
        <v>730</v>
      </c>
      <c r="B732" s="11">
        <f t="shared" ca="1" si="46"/>
        <v>696</v>
      </c>
      <c r="C732">
        <f ca="1">SUM($B$2:B732)/A732</f>
        <v>112.29266817282625</v>
      </c>
      <c r="E732">
        <v>730</v>
      </c>
      <c r="F732" s="11">
        <f t="shared" ca="1" si="47"/>
        <v>696</v>
      </c>
      <c r="G732">
        <f ca="1">SUM($F$2:F732)/E732</f>
        <v>114.62723629801717</v>
      </c>
      <c r="I732">
        <v>730</v>
      </c>
      <c r="J732">
        <f t="shared" ca="1" si="48"/>
        <v>696</v>
      </c>
      <c r="K732">
        <f ca="1">SUM($J$2:J732)/I732</f>
        <v>112.29266817282625</v>
      </c>
      <c r="M732">
        <v>730</v>
      </c>
      <c r="N732">
        <f t="shared" ca="1" si="49"/>
        <v>696</v>
      </c>
      <c r="O732">
        <f ca="1">SUM($N$2:N732)/M732</f>
        <v>114.62723629801717</v>
      </c>
    </row>
    <row r="733" spans="1:15" x14ac:dyDescent="0.2">
      <c r="A733">
        <v>731</v>
      </c>
      <c r="B733" s="11">
        <f t="shared" ca="1" si="46"/>
        <v>696</v>
      </c>
      <c r="C733">
        <f ca="1">SUM($B$2:B733)/A733</f>
        <v>113.0911734147239</v>
      </c>
      <c r="E733">
        <v>731</v>
      </c>
      <c r="F733" s="11">
        <f t="shared" ca="1" si="47"/>
        <v>696</v>
      </c>
      <c r="G733">
        <f ca="1">SUM($F$2:F733)/E733</f>
        <v>115.42254787626885</v>
      </c>
      <c r="I733">
        <v>731</v>
      </c>
      <c r="J733">
        <f t="shared" ca="1" si="48"/>
        <v>696</v>
      </c>
      <c r="K733">
        <f ca="1">SUM($J$2:J733)/I733</f>
        <v>113.0911734147239</v>
      </c>
      <c r="M733">
        <v>731</v>
      </c>
      <c r="N733">
        <f t="shared" ca="1" si="49"/>
        <v>696</v>
      </c>
      <c r="O733">
        <f ca="1">SUM($N$2:N733)/M733</f>
        <v>115.42254787626885</v>
      </c>
    </row>
    <row r="734" spans="1:15" x14ac:dyDescent="0.2">
      <c r="A734">
        <v>732</v>
      </c>
      <c r="B734" s="11">
        <f t="shared" ca="1" si="46"/>
        <v>696</v>
      </c>
      <c r="C734">
        <f ca="1">SUM($B$2:B734)/A734</f>
        <v>113.88749694831033</v>
      </c>
      <c r="E734">
        <v>732</v>
      </c>
      <c r="F734" s="11">
        <f t="shared" ca="1" si="47"/>
        <v>696</v>
      </c>
      <c r="G734">
        <f ca="1">SUM($F$2:F734)/E734</f>
        <v>116.21568647206631</v>
      </c>
      <c r="I734">
        <v>732</v>
      </c>
      <c r="J734">
        <f t="shared" ca="1" si="48"/>
        <v>696</v>
      </c>
      <c r="K734">
        <f ca="1">SUM($J$2:J734)/I734</f>
        <v>113.88749694831033</v>
      </c>
      <c r="M734">
        <v>732</v>
      </c>
      <c r="N734">
        <f t="shared" ca="1" si="49"/>
        <v>696</v>
      </c>
      <c r="O734">
        <f ca="1">SUM($N$2:N734)/M734</f>
        <v>116.21568647206631</v>
      </c>
    </row>
    <row r="735" spans="1:15" x14ac:dyDescent="0.2">
      <c r="A735">
        <v>733</v>
      </c>
      <c r="B735" s="11">
        <f t="shared" ca="1" si="46"/>
        <v>696</v>
      </c>
      <c r="C735">
        <f ca="1">SUM($B$2:B735)/A735</f>
        <v>114.68164770281469</v>
      </c>
      <c r="E735">
        <v>733</v>
      </c>
      <c r="F735" s="11">
        <f t="shared" ca="1" si="47"/>
        <v>696</v>
      </c>
      <c r="G735">
        <f ca="1">SUM($F$2:F735)/E735</f>
        <v>117.00666097892569</v>
      </c>
      <c r="I735">
        <v>733</v>
      </c>
      <c r="J735">
        <f t="shared" ca="1" si="48"/>
        <v>696</v>
      </c>
      <c r="K735">
        <f ca="1">SUM($J$2:J735)/I735</f>
        <v>114.68164770281469</v>
      </c>
      <c r="M735">
        <v>733</v>
      </c>
      <c r="N735">
        <f t="shared" ca="1" si="49"/>
        <v>696</v>
      </c>
      <c r="O735">
        <f ca="1">SUM($N$2:N735)/M735</f>
        <v>117.00666097892569</v>
      </c>
    </row>
    <row r="736" spans="1:15" x14ac:dyDescent="0.2">
      <c r="A736">
        <v>734</v>
      </c>
      <c r="B736" s="11">
        <f t="shared" ca="1" si="46"/>
        <v>696</v>
      </c>
      <c r="C736">
        <f ca="1">SUM($B$2:B736)/A736</f>
        <v>115.4736345588054</v>
      </c>
      <c r="E736">
        <v>734</v>
      </c>
      <c r="F736" s="11">
        <f t="shared" ca="1" si="47"/>
        <v>696</v>
      </c>
      <c r="G736">
        <f ca="1">SUM($F$2:F736)/E736</f>
        <v>117.79548024189718</v>
      </c>
      <c r="I736">
        <v>734</v>
      </c>
      <c r="J736">
        <f t="shared" ca="1" si="48"/>
        <v>696</v>
      </c>
      <c r="K736">
        <f ca="1">SUM($J$2:J736)/I736</f>
        <v>115.4736345588054</v>
      </c>
      <c r="M736">
        <v>734</v>
      </c>
      <c r="N736">
        <f t="shared" ca="1" si="49"/>
        <v>696</v>
      </c>
      <c r="O736">
        <f ca="1">SUM($N$2:N736)/M736</f>
        <v>117.79548024189718</v>
      </c>
    </row>
    <row r="737" spans="1:15" x14ac:dyDescent="0.2">
      <c r="A737">
        <v>735</v>
      </c>
      <c r="B737" s="11">
        <f t="shared" ca="1" si="46"/>
        <v>696</v>
      </c>
      <c r="C737">
        <f ca="1">SUM($B$2:B737)/A737</f>
        <v>116.26346634852132</v>
      </c>
      <c r="E737">
        <v>735</v>
      </c>
      <c r="F737" s="11">
        <f t="shared" ca="1" si="47"/>
        <v>696</v>
      </c>
      <c r="G737">
        <f ca="1">SUM($F$2:F737)/E737</f>
        <v>118.5821530578946</v>
      </c>
      <c r="I737">
        <v>735</v>
      </c>
      <c r="J737">
        <f t="shared" ca="1" si="48"/>
        <v>696</v>
      </c>
      <c r="K737">
        <f ca="1">SUM($J$2:J737)/I737</f>
        <v>116.26346634852132</v>
      </c>
      <c r="M737">
        <v>735</v>
      </c>
      <c r="N737">
        <f t="shared" ca="1" si="49"/>
        <v>696</v>
      </c>
      <c r="O737">
        <f ca="1">SUM($N$2:N737)/M737</f>
        <v>118.5821530578946</v>
      </c>
    </row>
    <row r="738" spans="1:15" x14ac:dyDescent="0.2">
      <c r="A738">
        <v>736</v>
      </c>
      <c r="B738" s="11">
        <f t="shared" ca="1" si="46"/>
        <v>696</v>
      </c>
      <c r="C738">
        <f ca="1">SUM($B$2:B738)/A738</f>
        <v>117.05115185619995</v>
      </c>
      <c r="E738">
        <v>736</v>
      </c>
      <c r="F738" s="11">
        <f t="shared" ca="1" si="47"/>
        <v>696</v>
      </c>
      <c r="G738">
        <f ca="1">SUM($F$2:F738)/E738</f>
        <v>119.36668817602246</v>
      </c>
      <c r="I738">
        <v>736</v>
      </c>
      <c r="J738">
        <f t="shared" ca="1" si="48"/>
        <v>696</v>
      </c>
      <c r="K738">
        <f ca="1">SUM($J$2:J738)/I738</f>
        <v>117.05115185619995</v>
      </c>
      <c r="M738">
        <v>736</v>
      </c>
      <c r="N738">
        <f t="shared" ca="1" si="49"/>
        <v>696</v>
      </c>
      <c r="O738">
        <f ca="1">SUM($N$2:N738)/M738</f>
        <v>119.36668817602246</v>
      </c>
    </row>
    <row r="739" spans="1:15" x14ac:dyDescent="0.2">
      <c r="A739">
        <v>737</v>
      </c>
      <c r="B739" s="11">
        <f t="shared" ca="1" si="46"/>
        <v>696</v>
      </c>
      <c r="C739">
        <f ca="1">SUM($B$2:B739)/A739</f>
        <v>117.8366998184032</v>
      </c>
      <c r="E739">
        <v>737</v>
      </c>
      <c r="F739" s="11">
        <f t="shared" ca="1" si="47"/>
        <v>696</v>
      </c>
      <c r="G739">
        <f ca="1">SUM($F$2:F739)/E739</f>
        <v>120.14909429790032</v>
      </c>
      <c r="I739">
        <v>737</v>
      </c>
      <c r="J739">
        <f t="shared" ca="1" si="48"/>
        <v>696</v>
      </c>
      <c r="K739">
        <f ca="1">SUM($J$2:J739)/I739</f>
        <v>117.8366998184032</v>
      </c>
      <c r="M739">
        <v>737</v>
      </c>
      <c r="N739">
        <f t="shared" ca="1" si="49"/>
        <v>696</v>
      </c>
      <c r="O739">
        <f ca="1">SUM($N$2:N739)/M739</f>
        <v>120.14909429790032</v>
      </c>
    </row>
    <row r="740" spans="1:15" x14ac:dyDescent="0.2">
      <c r="A740">
        <v>738</v>
      </c>
      <c r="B740" s="11">
        <f t="shared" ca="1" si="46"/>
        <v>696</v>
      </c>
      <c r="C740">
        <f ca="1">SUM($B$2:B740)/A740</f>
        <v>118.62011892434033</v>
      </c>
      <c r="E740">
        <v>738</v>
      </c>
      <c r="F740" s="11">
        <f t="shared" ca="1" si="47"/>
        <v>696</v>
      </c>
      <c r="G740">
        <f ca="1">SUM($F$2:F740)/E740</f>
        <v>120.92938007798446</v>
      </c>
      <c r="I740">
        <v>738</v>
      </c>
      <c r="J740">
        <f t="shared" ca="1" si="48"/>
        <v>696</v>
      </c>
      <c r="K740">
        <f ca="1">SUM($J$2:J740)/I740</f>
        <v>118.62011892434033</v>
      </c>
      <c r="M740">
        <v>738</v>
      </c>
      <c r="N740">
        <f t="shared" ca="1" si="49"/>
        <v>696</v>
      </c>
      <c r="O740">
        <f ca="1">SUM($N$2:N740)/M740</f>
        <v>120.92938007798446</v>
      </c>
    </row>
    <row r="741" spans="1:15" x14ac:dyDescent="0.2">
      <c r="A741">
        <v>739</v>
      </c>
      <c r="B741" s="11">
        <f t="shared" ca="1" si="46"/>
        <v>696</v>
      </c>
      <c r="C741">
        <f ca="1">SUM($B$2:B741)/A741</f>
        <v>119.40141781618831</v>
      </c>
      <c r="E741">
        <v>739</v>
      </c>
      <c r="F741" s="11">
        <f t="shared" ca="1" si="47"/>
        <v>696</v>
      </c>
      <c r="G741">
        <f ca="1">SUM($F$2:F741)/E741</f>
        <v>121.70755412388705</v>
      </c>
      <c r="I741">
        <v>739</v>
      </c>
      <c r="J741">
        <f t="shared" ca="1" si="48"/>
        <v>696</v>
      </c>
      <c r="K741">
        <f ca="1">SUM($J$2:J741)/I741</f>
        <v>119.40141781618831</v>
      </c>
      <c r="M741">
        <v>739</v>
      </c>
      <c r="N741">
        <f t="shared" ca="1" si="49"/>
        <v>696</v>
      </c>
      <c r="O741">
        <f ca="1">SUM($N$2:N741)/M741</f>
        <v>121.70755412388705</v>
      </c>
    </row>
    <row r="742" spans="1:15" x14ac:dyDescent="0.2">
      <c r="A742">
        <v>740</v>
      </c>
      <c r="B742" s="11">
        <f t="shared" ca="1" si="46"/>
        <v>696</v>
      </c>
      <c r="C742">
        <f ca="1">SUM($B$2:B742)/A742</f>
        <v>120.18060508940968</v>
      </c>
      <c r="E742">
        <v>740</v>
      </c>
      <c r="F742" s="11">
        <f t="shared" ca="1" si="47"/>
        <v>696</v>
      </c>
      <c r="G742">
        <f ca="1">SUM($F$2:F742)/E742</f>
        <v>122.48362499669261</v>
      </c>
      <c r="I742">
        <v>740</v>
      </c>
      <c r="J742">
        <f t="shared" ca="1" si="48"/>
        <v>696</v>
      </c>
      <c r="K742">
        <f ca="1">SUM($J$2:J742)/I742</f>
        <v>120.18060508940968</v>
      </c>
      <c r="M742">
        <v>740</v>
      </c>
      <c r="N742">
        <f t="shared" ca="1" si="49"/>
        <v>696</v>
      </c>
      <c r="O742">
        <f ca="1">SUM($N$2:N742)/M742</f>
        <v>122.48362499669261</v>
      </c>
    </row>
    <row r="743" spans="1:15" x14ac:dyDescent="0.2">
      <c r="A743">
        <v>741</v>
      </c>
      <c r="B743" s="11">
        <f t="shared" ca="1" si="46"/>
        <v>696</v>
      </c>
      <c r="C743">
        <f ca="1">SUM($B$2:B743)/A743</f>
        <v>120.9576892930677</v>
      </c>
      <c r="E743">
        <v>741</v>
      </c>
      <c r="F743" s="11">
        <f t="shared" ca="1" si="47"/>
        <v>696</v>
      </c>
      <c r="G743">
        <f ca="1">SUM($F$2:F743)/E743</f>
        <v>123.25760121127198</v>
      </c>
      <c r="I743">
        <v>741</v>
      </c>
      <c r="J743">
        <f t="shared" ca="1" si="48"/>
        <v>696</v>
      </c>
      <c r="K743">
        <f ca="1">SUM($J$2:J743)/I743</f>
        <v>120.9576892930677</v>
      </c>
      <c r="M743">
        <v>741</v>
      </c>
      <c r="N743">
        <f t="shared" ca="1" si="49"/>
        <v>696</v>
      </c>
      <c r="O743">
        <f ca="1">SUM($N$2:N743)/M743</f>
        <v>123.25760121127198</v>
      </c>
    </row>
    <row r="744" spans="1:15" x14ac:dyDescent="0.2">
      <c r="A744">
        <v>742</v>
      </c>
      <c r="B744" s="11">
        <f t="shared" ca="1" si="46"/>
        <v>696</v>
      </c>
      <c r="C744">
        <f ca="1">SUM($B$2:B744)/A744</f>
        <v>121.73267893013903</v>
      </c>
      <c r="E744">
        <v>742</v>
      </c>
      <c r="F744" s="11">
        <f t="shared" ca="1" si="47"/>
        <v>696</v>
      </c>
      <c r="G744">
        <f ca="1">SUM($F$2:F744)/E744</f>
        <v>124.02949123659371</v>
      </c>
      <c r="I744">
        <v>742</v>
      </c>
      <c r="J744">
        <f t="shared" ca="1" si="48"/>
        <v>696</v>
      </c>
      <c r="K744">
        <f ca="1">SUM($J$2:J744)/I744</f>
        <v>121.73267893013903</v>
      </c>
      <c r="M744">
        <v>742</v>
      </c>
      <c r="N744">
        <f t="shared" ca="1" si="49"/>
        <v>696</v>
      </c>
      <c r="O744">
        <f ca="1">SUM($N$2:N744)/M744</f>
        <v>124.02949123659371</v>
      </c>
    </row>
    <row r="745" spans="1:15" x14ac:dyDescent="0.2">
      <c r="A745">
        <v>743</v>
      </c>
      <c r="B745" s="11">
        <f t="shared" ca="1" si="46"/>
        <v>696</v>
      </c>
      <c r="C745">
        <f ca="1">SUM($B$2:B745)/A745</f>
        <v>122.50558245782391</v>
      </c>
      <c r="E745">
        <v>743</v>
      </c>
      <c r="F745" s="11">
        <f t="shared" ca="1" si="47"/>
        <v>696</v>
      </c>
      <c r="G745">
        <f ca="1">SUM($F$2:F745)/E745</f>
        <v>124.79930349603302</v>
      </c>
      <c r="I745">
        <v>743</v>
      </c>
      <c r="J745">
        <f t="shared" ca="1" si="48"/>
        <v>696</v>
      </c>
      <c r="K745">
        <f ca="1">SUM($J$2:J745)/I745</f>
        <v>122.50558245782391</v>
      </c>
      <c r="M745">
        <v>743</v>
      </c>
      <c r="N745">
        <f t="shared" ca="1" si="49"/>
        <v>696</v>
      </c>
      <c r="O745">
        <f ca="1">SUM($N$2:N745)/M745</f>
        <v>124.79930349603302</v>
      </c>
    </row>
    <row r="746" spans="1:15" x14ac:dyDescent="0.2">
      <c r="A746">
        <v>744</v>
      </c>
      <c r="B746" s="11">
        <f t="shared" ca="1" si="46"/>
        <v>696</v>
      </c>
      <c r="C746">
        <f ca="1">SUM($B$2:B746)/A746</f>
        <v>123.27640828785371</v>
      </c>
      <c r="E746">
        <v>744</v>
      </c>
      <c r="F746" s="11">
        <f t="shared" ca="1" si="47"/>
        <v>696</v>
      </c>
      <c r="G746">
        <f ca="1">SUM($F$2:F746)/E746</f>
        <v>125.56704636767815</v>
      </c>
      <c r="I746">
        <v>744</v>
      </c>
      <c r="J746">
        <f t="shared" ca="1" si="48"/>
        <v>696</v>
      </c>
      <c r="K746">
        <f ca="1">SUM($J$2:J746)/I746</f>
        <v>123.27640828785371</v>
      </c>
      <c r="M746">
        <v>744</v>
      </c>
      <c r="N746">
        <f t="shared" ca="1" si="49"/>
        <v>696</v>
      </c>
      <c r="O746">
        <f ca="1">SUM($N$2:N746)/M746</f>
        <v>125.56704636767815</v>
      </c>
    </row>
    <row r="747" spans="1:15" x14ac:dyDescent="0.2">
      <c r="A747">
        <v>745</v>
      </c>
      <c r="B747" s="11">
        <f t="shared" ca="1" si="46"/>
        <v>696</v>
      </c>
      <c r="C747">
        <f ca="1">SUM($B$2:B747)/A747</f>
        <v>124.04516478679619</v>
      </c>
      <c r="E747">
        <v>745</v>
      </c>
      <c r="F747" s="11">
        <f t="shared" ca="1" si="47"/>
        <v>696</v>
      </c>
      <c r="G747">
        <f ca="1">SUM($F$2:F747)/E747</f>
        <v>126.33272818463428</v>
      </c>
      <c r="I747">
        <v>745</v>
      </c>
      <c r="J747">
        <f t="shared" ca="1" si="48"/>
        <v>696</v>
      </c>
      <c r="K747">
        <f ca="1">SUM($J$2:J747)/I747</f>
        <v>124.04516478679619</v>
      </c>
      <c r="M747">
        <v>745</v>
      </c>
      <c r="N747">
        <f t="shared" ca="1" si="49"/>
        <v>696</v>
      </c>
      <c r="O747">
        <f ca="1">SUM($N$2:N747)/M747</f>
        <v>126.33272818463428</v>
      </c>
    </row>
    <row r="748" spans="1:15" x14ac:dyDescent="0.2">
      <c r="A748">
        <v>746</v>
      </c>
      <c r="B748" s="11">
        <f t="shared" ca="1" si="46"/>
        <v>696</v>
      </c>
      <c r="C748">
        <f ca="1">SUM($B$2:B748)/A748</f>
        <v>124.81186027635813</v>
      </c>
      <c r="E748">
        <v>746</v>
      </c>
      <c r="F748" s="11">
        <f t="shared" ca="1" si="47"/>
        <v>696</v>
      </c>
      <c r="G748">
        <f ca="1">SUM($F$2:F748)/E748</f>
        <v>127.09635723532512</v>
      </c>
      <c r="I748">
        <v>746</v>
      </c>
      <c r="J748">
        <f t="shared" ca="1" si="48"/>
        <v>696</v>
      </c>
      <c r="K748">
        <f ca="1">SUM($J$2:J748)/I748</f>
        <v>124.81186027635813</v>
      </c>
      <c r="M748">
        <v>746</v>
      </c>
      <c r="N748">
        <f t="shared" ca="1" si="49"/>
        <v>696</v>
      </c>
      <c r="O748">
        <f ca="1">SUM($N$2:N748)/M748</f>
        <v>127.09635723532512</v>
      </c>
    </row>
    <row r="749" spans="1:15" x14ac:dyDescent="0.2">
      <c r="A749">
        <v>747</v>
      </c>
      <c r="B749" s="11">
        <f t="shared" ca="1" si="46"/>
        <v>696</v>
      </c>
      <c r="C749">
        <f ca="1">SUM($B$2:B749)/A749</f>
        <v>125.57650303368563</v>
      </c>
      <c r="E749">
        <v>747</v>
      </c>
      <c r="F749" s="11">
        <f t="shared" ca="1" si="47"/>
        <v>696</v>
      </c>
      <c r="G749">
        <f ca="1">SUM($F$2:F749)/E749</f>
        <v>127.85794176379189</v>
      </c>
      <c r="I749">
        <v>747</v>
      </c>
      <c r="J749">
        <f t="shared" ca="1" si="48"/>
        <v>696</v>
      </c>
      <c r="K749">
        <f ca="1">SUM($J$2:J749)/I749</f>
        <v>125.57650303368563</v>
      </c>
      <c r="M749">
        <v>747</v>
      </c>
      <c r="N749">
        <f t="shared" ca="1" si="49"/>
        <v>696</v>
      </c>
      <c r="O749">
        <f ca="1">SUM($N$2:N749)/M749</f>
        <v>127.85794176379189</v>
      </c>
    </row>
    <row r="750" spans="1:15" x14ac:dyDescent="0.2">
      <c r="A750">
        <v>748</v>
      </c>
      <c r="B750" s="11">
        <f t="shared" ca="1" si="46"/>
        <v>696</v>
      </c>
      <c r="C750">
        <f ca="1">SUM($B$2:B750)/A750</f>
        <v>126.33910129166199</v>
      </c>
      <c r="E750">
        <v>748</v>
      </c>
      <c r="F750" s="11">
        <f t="shared" ca="1" si="47"/>
        <v>696</v>
      </c>
      <c r="G750">
        <f ca="1">SUM($F$2:F750)/E750</f>
        <v>128.61748996999003</v>
      </c>
      <c r="I750">
        <v>748</v>
      </c>
      <c r="J750">
        <f t="shared" ca="1" si="48"/>
        <v>696</v>
      </c>
      <c r="K750">
        <f ca="1">SUM($J$2:J750)/I750</f>
        <v>126.33910129166199</v>
      </c>
      <c r="M750">
        <v>748</v>
      </c>
      <c r="N750">
        <f t="shared" ca="1" si="49"/>
        <v>696</v>
      </c>
      <c r="O750">
        <f ca="1">SUM($N$2:N750)/M750</f>
        <v>128.61748996999003</v>
      </c>
    </row>
    <row r="751" spans="1:15" x14ac:dyDescent="0.2">
      <c r="A751">
        <v>749</v>
      </c>
      <c r="B751" s="11">
        <f t="shared" ca="1" si="46"/>
        <v>696</v>
      </c>
      <c r="C751">
        <f ca="1">SUM($B$2:B751)/A751</f>
        <v>127.09966323920315</v>
      </c>
      <c r="E751">
        <v>749</v>
      </c>
      <c r="F751" s="11">
        <f t="shared" ca="1" si="47"/>
        <v>696</v>
      </c>
      <c r="G751">
        <f ca="1">SUM($F$2:F751)/E751</f>
        <v>129.37501001008349</v>
      </c>
      <c r="I751">
        <v>749</v>
      </c>
      <c r="J751">
        <f t="shared" ca="1" si="48"/>
        <v>696</v>
      </c>
      <c r="K751">
        <f ca="1">SUM($J$2:J751)/I751</f>
        <v>127.09966323920315</v>
      </c>
      <c r="M751">
        <v>749</v>
      </c>
      <c r="N751">
        <f t="shared" ca="1" si="49"/>
        <v>696</v>
      </c>
      <c r="O751">
        <f ca="1">SUM($N$2:N751)/M751</f>
        <v>129.37501001008349</v>
      </c>
    </row>
    <row r="752" spans="1:15" x14ac:dyDescent="0.2">
      <c r="A752">
        <v>750</v>
      </c>
      <c r="B752" s="11">
        <f t="shared" ca="1" si="46"/>
        <v>696</v>
      </c>
      <c r="C752">
        <f ca="1">SUM($B$2:B752)/A752</f>
        <v>127.85819702155089</v>
      </c>
      <c r="E752">
        <v>750</v>
      </c>
      <c r="F752" s="11">
        <f t="shared" ca="1" si="47"/>
        <v>696</v>
      </c>
      <c r="G752">
        <f ca="1">SUM($F$2:F752)/E752</f>
        <v>130.13050999673672</v>
      </c>
      <c r="I752">
        <v>750</v>
      </c>
      <c r="J752">
        <f t="shared" ca="1" si="48"/>
        <v>696</v>
      </c>
      <c r="K752">
        <f ca="1">SUM($J$2:J752)/I752</f>
        <v>127.85819702155089</v>
      </c>
      <c r="M752">
        <v>750</v>
      </c>
      <c r="N752">
        <f t="shared" ca="1" si="49"/>
        <v>696</v>
      </c>
      <c r="O752">
        <f ca="1">SUM($N$2:N752)/M752</f>
        <v>130.13050999673672</v>
      </c>
    </row>
    <row r="753" spans="1:15" x14ac:dyDescent="0.2">
      <c r="A753">
        <v>751</v>
      </c>
      <c r="B753" s="11">
        <f t="shared" si="46"/>
        <v>0</v>
      </c>
      <c r="C753">
        <f ca="1">SUM($B$2:B753)/A753</f>
        <v>127.6879464263158</v>
      </c>
      <c r="E753">
        <v>751</v>
      </c>
      <c r="F753" s="11">
        <f t="shared" si="47"/>
        <v>0</v>
      </c>
      <c r="G753">
        <f ca="1">SUM($F$2:F753)/E753</f>
        <v>129.9572336851565</v>
      </c>
      <c r="I753">
        <v>751</v>
      </c>
      <c r="J753">
        <f t="shared" si="48"/>
        <v>0</v>
      </c>
      <c r="K753">
        <f ca="1">SUM($J$2:J753)/I753</f>
        <v>127.6879464263158</v>
      </c>
      <c r="M753">
        <v>751</v>
      </c>
      <c r="N753">
        <f t="shared" si="49"/>
        <v>0</v>
      </c>
      <c r="O753">
        <f ca="1">SUM($N$2:N753)/M753</f>
        <v>129.9572336851565</v>
      </c>
    </row>
    <row r="754" spans="1:15" x14ac:dyDescent="0.2">
      <c r="A754">
        <v>752</v>
      </c>
      <c r="B754" s="11">
        <f t="shared" si="46"/>
        <v>0</v>
      </c>
      <c r="C754">
        <f ca="1">SUM($B$2:B754)/A754</f>
        <v>127.51814862521698</v>
      </c>
      <c r="E754">
        <v>752</v>
      </c>
      <c r="F754" s="11">
        <f t="shared" si="47"/>
        <v>0</v>
      </c>
      <c r="G754">
        <f ca="1">SUM($F$2:F754)/E754</f>
        <v>129.78441821483051</v>
      </c>
      <c r="I754">
        <v>752</v>
      </c>
      <c r="J754">
        <f t="shared" si="48"/>
        <v>0</v>
      </c>
      <c r="K754">
        <f ca="1">SUM($J$2:J754)/I754</f>
        <v>127.51814862521698</v>
      </c>
      <c r="M754">
        <v>752</v>
      </c>
      <c r="N754">
        <f t="shared" si="49"/>
        <v>0</v>
      </c>
      <c r="O754">
        <f ca="1">SUM($N$2:N754)/M754</f>
        <v>129.78441821483051</v>
      </c>
    </row>
    <row r="755" spans="1:15" x14ac:dyDescent="0.2">
      <c r="A755">
        <v>753</v>
      </c>
      <c r="B755" s="11">
        <f t="shared" si="46"/>
        <v>0</v>
      </c>
      <c r="C755">
        <f ca="1">SUM($B$2:B755)/A755</f>
        <v>127.34880181429371</v>
      </c>
      <c r="E755">
        <v>753</v>
      </c>
      <c r="F755" s="11">
        <f t="shared" si="47"/>
        <v>0</v>
      </c>
      <c r="G755">
        <f ca="1">SUM($F$2:F755)/E755</f>
        <v>129.61206174973776</v>
      </c>
      <c r="I755">
        <v>753</v>
      </c>
      <c r="J755">
        <f t="shared" si="48"/>
        <v>0</v>
      </c>
      <c r="K755">
        <f ca="1">SUM($J$2:J755)/I755</f>
        <v>127.34880181429371</v>
      </c>
      <c r="M755">
        <v>753</v>
      </c>
      <c r="N755">
        <f t="shared" si="49"/>
        <v>0</v>
      </c>
      <c r="O755">
        <f ca="1">SUM($N$2:N755)/M755</f>
        <v>129.61206174973776</v>
      </c>
    </row>
    <row r="756" spans="1:15" x14ac:dyDescent="0.2">
      <c r="A756">
        <v>754</v>
      </c>
      <c r="B756" s="11">
        <f t="shared" si="46"/>
        <v>0</v>
      </c>
      <c r="C756">
        <f ca="1">SUM($B$2:B756)/A756</f>
        <v>127.17990419915539</v>
      </c>
      <c r="E756">
        <v>754</v>
      </c>
      <c r="F756" s="11">
        <f t="shared" si="47"/>
        <v>0</v>
      </c>
      <c r="G756">
        <f ca="1">SUM($F$2:F756)/E756</f>
        <v>129.44016246359752</v>
      </c>
      <c r="I756">
        <v>754</v>
      </c>
      <c r="J756">
        <f t="shared" si="48"/>
        <v>0</v>
      </c>
      <c r="K756">
        <f ca="1">SUM($J$2:J756)/I756</f>
        <v>127.17990419915539</v>
      </c>
      <c r="M756">
        <v>754</v>
      </c>
      <c r="N756">
        <f t="shared" si="49"/>
        <v>0</v>
      </c>
      <c r="O756">
        <f ca="1">SUM($N$2:N756)/M756</f>
        <v>129.44016246359752</v>
      </c>
    </row>
    <row r="757" spans="1:15" x14ac:dyDescent="0.2">
      <c r="A757">
        <v>755</v>
      </c>
      <c r="B757" s="11">
        <f t="shared" si="46"/>
        <v>0</v>
      </c>
      <c r="C757">
        <f ca="1">SUM($B$2:B757)/A757</f>
        <v>127.0114539949181</v>
      </c>
      <c r="E757">
        <v>755</v>
      </c>
      <c r="F757" s="11">
        <f t="shared" si="47"/>
        <v>0</v>
      </c>
      <c r="G757">
        <f ca="1">SUM($F$2:F757)/E757</f>
        <v>129.26871853980469</v>
      </c>
      <c r="I757">
        <v>755</v>
      </c>
      <c r="J757">
        <f t="shared" si="48"/>
        <v>0</v>
      </c>
      <c r="K757">
        <f ca="1">SUM($J$2:J757)/I757</f>
        <v>127.0114539949181</v>
      </c>
      <c r="M757">
        <v>755</v>
      </c>
      <c r="N757">
        <f t="shared" si="49"/>
        <v>0</v>
      </c>
      <c r="O757">
        <f ca="1">SUM($N$2:N757)/M757</f>
        <v>129.26871853980469</v>
      </c>
    </row>
    <row r="758" spans="1:15" x14ac:dyDescent="0.2">
      <c r="A758">
        <v>756</v>
      </c>
      <c r="B758" s="11">
        <f t="shared" si="46"/>
        <v>0</v>
      </c>
      <c r="C758">
        <f ca="1">SUM($B$2:B758)/A758</f>
        <v>126.84344942614176</v>
      </c>
      <c r="E758">
        <v>756</v>
      </c>
      <c r="F758" s="11">
        <f t="shared" si="47"/>
        <v>0</v>
      </c>
      <c r="G758">
        <f ca="1">SUM($F$2:F758)/E758</f>
        <v>129.09772817136579</v>
      </c>
      <c r="I758">
        <v>756</v>
      </c>
      <c r="J758">
        <f t="shared" si="48"/>
        <v>0</v>
      </c>
      <c r="K758">
        <f ca="1">SUM($J$2:J758)/I758</f>
        <v>126.84344942614176</v>
      </c>
      <c r="M758">
        <v>756</v>
      </c>
      <c r="N758">
        <f t="shared" si="49"/>
        <v>0</v>
      </c>
      <c r="O758">
        <f ca="1">SUM($N$2:N758)/M758</f>
        <v>129.09772817136579</v>
      </c>
    </row>
    <row r="759" spans="1:15" x14ac:dyDescent="0.2">
      <c r="A759">
        <v>757</v>
      </c>
      <c r="B759" s="11">
        <f t="shared" si="46"/>
        <v>0</v>
      </c>
      <c r="C759">
        <f ca="1">SUM($B$2:B759)/A759</f>
        <v>126.67588872676772</v>
      </c>
      <c r="E759">
        <v>757</v>
      </c>
      <c r="F759" s="11">
        <f t="shared" si="47"/>
        <v>0</v>
      </c>
      <c r="G759">
        <f ca="1">SUM($F$2:F759)/E759</f>
        <v>128.92718956083559</v>
      </c>
      <c r="I759">
        <v>757</v>
      </c>
      <c r="J759">
        <f t="shared" si="48"/>
        <v>0</v>
      </c>
      <c r="K759">
        <f ca="1">SUM($J$2:J759)/I759</f>
        <v>126.67588872676772</v>
      </c>
      <c r="M759">
        <v>757</v>
      </c>
      <c r="N759">
        <f t="shared" si="49"/>
        <v>0</v>
      </c>
      <c r="O759">
        <f ca="1">SUM($N$2:N759)/M759</f>
        <v>128.92718956083559</v>
      </c>
    </row>
    <row r="760" spans="1:15" x14ac:dyDescent="0.2">
      <c r="A760">
        <v>758</v>
      </c>
      <c r="B760" s="11">
        <f t="shared" si="46"/>
        <v>0</v>
      </c>
      <c r="C760">
        <f ca="1">SUM($B$2:B760)/A760</f>
        <v>126.50877014005695</v>
      </c>
      <c r="E760">
        <v>758</v>
      </c>
      <c r="F760" s="11">
        <f t="shared" si="47"/>
        <v>0</v>
      </c>
      <c r="G760">
        <f ca="1">SUM($F$2:F760)/E760</f>
        <v>128.757100920254</v>
      </c>
      <c r="I760">
        <v>758</v>
      </c>
      <c r="J760">
        <f t="shared" si="48"/>
        <v>0</v>
      </c>
      <c r="K760">
        <f ca="1">SUM($J$2:J760)/I760</f>
        <v>126.50877014005695</v>
      </c>
      <c r="M760">
        <v>758</v>
      </c>
      <c r="N760">
        <f t="shared" si="49"/>
        <v>0</v>
      </c>
      <c r="O760">
        <f ca="1">SUM($N$2:N760)/M760</f>
        <v>128.757100920254</v>
      </c>
    </row>
    <row r="761" spans="1:15" x14ac:dyDescent="0.2">
      <c r="A761">
        <v>759</v>
      </c>
      <c r="B761" s="11">
        <f t="shared" si="46"/>
        <v>0</v>
      </c>
      <c r="C761">
        <f ca="1">SUM($B$2:B761)/A761</f>
        <v>126.34209191852854</v>
      </c>
      <c r="E761">
        <v>759</v>
      </c>
      <c r="F761" s="11">
        <f t="shared" si="47"/>
        <v>0</v>
      </c>
      <c r="G761">
        <f ca="1">SUM($F$2:F761)/E761</f>
        <v>128.58746047108372</v>
      </c>
      <c r="I761">
        <v>759</v>
      </c>
      <c r="J761">
        <f t="shared" si="48"/>
        <v>0</v>
      </c>
      <c r="K761">
        <f ca="1">SUM($J$2:J761)/I761</f>
        <v>126.34209191852854</v>
      </c>
      <c r="M761">
        <v>759</v>
      </c>
      <c r="N761">
        <f t="shared" si="49"/>
        <v>0</v>
      </c>
      <c r="O761">
        <f ca="1">SUM($N$2:N761)/M761</f>
        <v>128.58746047108372</v>
      </c>
    </row>
    <row r="762" spans="1:15" x14ac:dyDescent="0.2">
      <c r="A762">
        <v>760</v>
      </c>
      <c r="B762" s="11">
        <f t="shared" si="46"/>
        <v>0</v>
      </c>
      <c r="C762">
        <f ca="1">SUM($B$2:B762)/A762</f>
        <v>126.17585232389891</v>
      </c>
      <c r="E762">
        <v>760</v>
      </c>
      <c r="F762" s="11">
        <f t="shared" si="47"/>
        <v>0</v>
      </c>
      <c r="G762">
        <f ca="1">SUM($F$2:F762)/E762</f>
        <v>128.41826644414806</v>
      </c>
      <c r="I762">
        <v>760</v>
      </c>
      <c r="J762">
        <f t="shared" si="48"/>
        <v>0</v>
      </c>
      <c r="K762">
        <f ca="1">SUM($J$2:J762)/I762</f>
        <v>126.17585232389891</v>
      </c>
      <c r="M762">
        <v>760</v>
      </c>
      <c r="N762">
        <f t="shared" si="49"/>
        <v>0</v>
      </c>
      <c r="O762">
        <f ca="1">SUM($N$2:N762)/M762</f>
        <v>128.41826644414806</v>
      </c>
    </row>
    <row r="763" spans="1:15" x14ac:dyDescent="0.2">
      <c r="A763">
        <v>761</v>
      </c>
      <c r="B763" s="11">
        <f t="shared" si="46"/>
        <v>0</v>
      </c>
      <c r="C763">
        <f ca="1">SUM($B$2:B763)/A763</f>
        <v>126.01004962702125</v>
      </c>
      <c r="E763">
        <v>761</v>
      </c>
      <c r="F763" s="11">
        <f t="shared" si="47"/>
        <v>0</v>
      </c>
      <c r="G763">
        <f ca="1">SUM($F$2:F763)/E763</f>
        <v>128.2495170795697</v>
      </c>
      <c r="I763">
        <v>761</v>
      </c>
      <c r="J763">
        <f t="shared" si="48"/>
        <v>0</v>
      </c>
      <c r="K763">
        <f ca="1">SUM($J$2:J763)/I763</f>
        <v>126.01004962702125</v>
      </c>
      <c r="M763">
        <v>761</v>
      </c>
      <c r="N763">
        <f t="shared" si="49"/>
        <v>0</v>
      </c>
      <c r="O763">
        <f ca="1">SUM($N$2:N763)/M763</f>
        <v>128.2495170795697</v>
      </c>
    </row>
    <row r="764" spans="1:15" x14ac:dyDescent="0.2">
      <c r="A764">
        <v>762</v>
      </c>
      <c r="B764" s="11">
        <f t="shared" si="46"/>
        <v>0</v>
      </c>
      <c r="C764">
        <f ca="1">SUM($B$2:B764)/A764</f>
        <v>125.84468210782568</v>
      </c>
      <c r="E764">
        <v>762</v>
      </c>
      <c r="F764" s="11">
        <f t="shared" si="47"/>
        <v>0</v>
      </c>
      <c r="G764">
        <f ca="1">SUM($F$2:F764)/E764</f>
        <v>128.08121062670935</v>
      </c>
      <c r="I764">
        <v>762</v>
      </c>
      <c r="J764">
        <f t="shared" si="48"/>
        <v>0</v>
      </c>
      <c r="K764">
        <f ca="1">SUM($J$2:J764)/I764</f>
        <v>125.84468210782568</v>
      </c>
      <c r="M764">
        <v>762</v>
      </c>
      <c r="N764">
        <f t="shared" si="49"/>
        <v>0</v>
      </c>
      <c r="O764">
        <f ca="1">SUM($N$2:N764)/M764</f>
        <v>128.08121062670935</v>
      </c>
    </row>
    <row r="765" spans="1:15" x14ac:dyDescent="0.2">
      <c r="A765">
        <v>763</v>
      </c>
      <c r="B765" s="11">
        <f t="shared" si="46"/>
        <v>0</v>
      </c>
      <c r="C765">
        <f ca="1">SUM($B$2:B765)/A765</f>
        <v>125.67974805525972</v>
      </c>
      <c r="E765">
        <v>763</v>
      </c>
      <c r="F765" s="11">
        <f t="shared" si="47"/>
        <v>0</v>
      </c>
      <c r="G765">
        <f ca="1">SUM($F$2:F765)/E765</f>
        <v>127.91334534410555</v>
      </c>
      <c r="I765">
        <v>763</v>
      </c>
      <c r="J765">
        <f t="shared" si="48"/>
        <v>0</v>
      </c>
      <c r="K765">
        <f ca="1">SUM($J$2:J765)/I765</f>
        <v>125.67974805525972</v>
      </c>
      <c r="M765">
        <v>763</v>
      </c>
      <c r="N765">
        <f t="shared" si="49"/>
        <v>0</v>
      </c>
      <c r="O765">
        <f ca="1">SUM($N$2:N765)/M765</f>
        <v>127.91334534410555</v>
      </c>
    </row>
    <row r="766" spans="1:15" x14ac:dyDescent="0.2">
      <c r="A766">
        <v>764</v>
      </c>
      <c r="B766" s="11">
        <f t="shared" si="46"/>
        <v>0</v>
      </c>
      <c r="C766">
        <f ca="1">SUM($B$2:B766)/A766</f>
        <v>125.51524576722927</v>
      </c>
      <c r="E766">
        <v>764</v>
      </c>
      <c r="F766" s="11">
        <f t="shared" si="47"/>
        <v>0</v>
      </c>
      <c r="G766">
        <f ca="1">SUM($F$2:F766)/E766</f>
        <v>127.74591949941431</v>
      </c>
      <c r="I766">
        <v>764</v>
      </c>
      <c r="J766">
        <f t="shared" si="48"/>
        <v>0</v>
      </c>
      <c r="K766">
        <f ca="1">SUM($J$2:J766)/I766</f>
        <v>125.51524576722927</v>
      </c>
      <c r="M766">
        <v>764</v>
      </c>
      <c r="N766">
        <f t="shared" si="49"/>
        <v>0</v>
      </c>
      <c r="O766">
        <f ca="1">SUM($N$2:N766)/M766</f>
        <v>127.74591949941431</v>
      </c>
    </row>
    <row r="767" spans="1:15" x14ac:dyDescent="0.2">
      <c r="A767">
        <v>765</v>
      </c>
      <c r="B767" s="11">
        <f t="shared" si="46"/>
        <v>0</v>
      </c>
      <c r="C767">
        <f ca="1">SUM($B$2:B767)/A767</f>
        <v>125.35117355054008</v>
      </c>
      <c r="E767">
        <v>765</v>
      </c>
      <c r="F767" s="11">
        <f t="shared" si="47"/>
        <v>0</v>
      </c>
      <c r="G767">
        <f ca="1">SUM($F$2:F767)/E767</f>
        <v>127.57893136934972</v>
      </c>
      <c r="I767">
        <v>765</v>
      </c>
      <c r="J767">
        <f t="shared" si="48"/>
        <v>0</v>
      </c>
      <c r="K767">
        <f ca="1">SUM($J$2:J767)/I767</f>
        <v>125.35117355054008</v>
      </c>
      <c r="M767">
        <v>765</v>
      </c>
      <c r="N767">
        <f t="shared" si="49"/>
        <v>0</v>
      </c>
      <c r="O767">
        <f ca="1">SUM($N$2:N767)/M767</f>
        <v>127.57893136934972</v>
      </c>
    </row>
    <row r="768" spans="1:15" x14ac:dyDescent="0.2">
      <c r="A768">
        <v>766</v>
      </c>
      <c r="B768" s="11">
        <f t="shared" si="46"/>
        <v>0</v>
      </c>
      <c r="C768">
        <f ca="1">SUM($B$2:B768)/A768</f>
        <v>125.18752972083963</v>
      </c>
      <c r="E768">
        <v>766</v>
      </c>
      <c r="F768" s="11">
        <f t="shared" si="47"/>
        <v>0</v>
      </c>
      <c r="G768">
        <f ca="1">SUM($F$2:F768)/E768</f>
        <v>127.41237923962471</v>
      </c>
      <c r="I768">
        <v>766</v>
      </c>
      <c r="J768">
        <f t="shared" si="48"/>
        <v>0</v>
      </c>
      <c r="K768">
        <f ca="1">SUM($J$2:J768)/I768</f>
        <v>125.18752972083963</v>
      </c>
      <c r="M768">
        <v>766</v>
      </c>
      <c r="N768">
        <f t="shared" si="49"/>
        <v>0</v>
      </c>
      <c r="O768">
        <f ca="1">SUM($N$2:N768)/M768</f>
        <v>127.41237923962471</v>
      </c>
    </row>
    <row r="769" spans="1:15" x14ac:dyDescent="0.2">
      <c r="A769">
        <v>767</v>
      </c>
      <c r="B769" s="11">
        <f t="shared" si="46"/>
        <v>0</v>
      </c>
      <c r="C769">
        <f ca="1">SUM($B$2:B769)/A769</f>
        <v>125.02431260255953</v>
      </c>
      <c r="E769">
        <v>767</v>
      </c>
      <c r="F769" s="11">
        <f t="shared" si="47"/>
        <v>0</v>
      </c>
      <c r="G769">
        <f ca="1">SUM($F$2:F769)/E769</f>
        <v>127.24626140489248</v>
      </c>
      <c r="I769">
        <v>767</v>
      </c>
      <c r="J769">
        <f t="shared" si="48"/>
        <v>0</v>
      </c>
      <c r="K769">
        <f ca="1">SUM($J$2:J769)/I769</f>
        <v>125.02431260255953</v>
      </c>
      <c r="M769">
        <v>767</v>
      </c>
      <c r="N769">
        <f t="shared" si="49"/>
        <v>0</v>
      </c>
      <c r="O769">
        <f ca="1">SUM($N$2:N769)/M769</f>
        <v>127.24626140489248</v>
      </c>
    </row>
    <row r="770" spans="1:15" x14ac:dyDescent="0.2">
      <c r="A770">
        <v>768</v>
      </c>
      <c r="B770" s="11">
        <f t="shared" si="46"/>
        <v>0</v>
      </c>
      <c r="C770">
        <f ca="1">SUM($B$2:B770)/A770</f>
        <v>124.86152052885829</v>
      </c>
      <c r="E770">
        <v>768</v>
      </c>
      <c r="F770" s="11">
        <f t="shared" si="47"/>
        <v>0</v>
      </c>
      <c r="G770">
        <f ca="1">SUM($F$2:F770)/E770</f>
        <v>127.0805761686882</v>
      </c>
      <c r="I770">
        <v>768</v>
      </c>
      <c r="J770">
        <f t="shared" si="48"/>
        <v>0</v>
      </c>
      <c r="K770">
        <f ca="1">SUM($J$2:J770)/I770</f>
        <v>124.86152052885829</v>
      </c>
      <c r="M770">
        <v>768</v>
      </c>
      <c r="N770">
        <f t="shared" si="49"/>
        <v>0</v>
      </c>
      <c r="O770">
        <f ca="1">SUM($N$2:N770)/M770</f>
        <v>127.0805761686882</v>
      </c>
    </row>
    <row r="771" spans="1:15" x14ac:dyDescent="0.2">
      <c r="A771">
        <v>769</v>
      </c>
      <c r="B771" s="11">
        <f t="shared" ref="B771:B834" si="50">IF(ARCap-IF((A771-IF(A771/180&gt;1,ROUNDDOWN(A771/180,0)*180,0))/30&lt;=1,IF(200*15*BaseSpeed/60*(YellowConnects+WhiteMHConnects+WhiteOHConnects+HoJConnects+WindfuryConnects+SSConnects+IronfoeConnects)*(A771-180*ROUNDDOWN(A771/180,0))&gt;1200,1200,200*15*BaseSpeed/60*(YellowConnects+WhiteMHConnects+WhiteOHConnects+HoJConnects+WindfuryConnects+SSConnects+IronfoeConnects)*(A771-180*ROUNDDOWN(A771/180,0))),0)&lt;0,ARCap,IF((A771-IF(A771/180&gt;1,ROUNDDOWN(A770/180,0)*180,0))/30&lt;=1,IF(200*15*BaseSpeed/60*(YellowConnects+WhiteMHConnects+WhiteOHConnects+HoJConnects+WindfuryConnects+SSConnects+IronfoeConnects)*(A771-180*ROUNDDOWN(A771/180,0))&gt;1200,1200,200*15*BaseSpeed/60*(YellowConnects+WhiteMHConnects+WhiteOHConnects+HoJConnects+WindfuryConnects+SSConnects+IronfoeConnects)*(A771-180*ROUNDDOWN(A771/180,0))),0))</f>
        <v>0</v>
      </c>
      <c r="C771">
        <f ca="1">SUM($B$2:B771)/A771</f>
        <v>124.69915184156459</v>
      </c>
      <c r="E771">
        <v>769</v>
      </c>
      <c r="F771" s="11">
        <f t="shared" ref="F771:F834" si="51">IF(ARCap-IF((A771-IF(A771/180&gt;1,ROUNDDOWN(A771/180,0)*180,0))/30&lt;=1,IF(200*15*BaseSpeed/60*(YellowConnects20+WhiteMHConnects20+WhiteOHConnects20+HoJConnects20+WindfuryConnects20+SSConnects20+IronfoeConnects20)*(A771-180*ROUNDDOWN(A771/180,0))&gt;1200,1200,200*15*BaseSpeed/60*(YellowConnects20+WhiteMHConnects20+WhiteOHConnects20+HoJConnects20+WindfuryConnects20+SSConnects20+IronfoeConnects20)*(A771-180*ROUNDDOWN(A771/180,0))),0)&lt;0,ARCap,IF((A771-IF(A771/180&gt;1,ROUNDDOWN(A771/180,0)*180,0))/30&lt;=1,IF(200*15*BaseSpeed/60*(YellowConnects20+WhiteMHConnects20+WhiteOHConnects20+HoJConnects20+WindfuryConnects20+SSConnects20+IronfoeConnects20)*(A771-180*ROUNDDOWN(A771/180,0))&gt;1200,1200,200*15*BaseSpeed/60*(YellowConnects20+WhiteMHConnects20+WhiteOHConnects20+HoJConnects20+WindfuryConnects20+SSConnects20+IronfoeConnects20)*(A771-180*ROUNDDOWN(A771/180,0))),0))</f>
        <v>0</v>
      </c>
      <c r="G771">
        <f ca="1">SUM($F$2:F771)/E771</f>
        <v>126.9153218433713</v>
      </c>
      <c r="I771">
        <v>769</v>
      </c>
      <c r="J771">
        <f t="shared" ref="J771:J834" si="52">IF(ARCap-(B771+BRE)&lt;0,ARCap,B771+BRE)</f>
        <v>0</v>
      </c>
      <c r="K771">
        <f ca="1">SUM($J$2:J771)/I771</f>
        <v>124.69915184156459</v>
      </c>
      <c r="M771">
        <v>769</v>
      </c>
      <c r="N771">
        <f t="shared" ref="N771:N834" si="53">IF(ARCap-(F771+BREArmorReduction20)&lt;0,ARCap,F771+BREArmorReduction20)</f>
        <v>0</v>
      </c>
      <c r="O771">
        <f ca="1">SUM($N$2:N771)/M771</f>
        <v>126.9153218433713</v>
      </c>
    </row>
    <row r="772" spans="1:15" x14ac:dyDescent="0.2">
      <c r="A772">
        <v>770</v>
      </c>
      <c r="B772" s="11">
        <f t="shared" si="50"/>
        <v>0</v>
      </c>
      <c r="C772">
        <f ca="1">SUM($B$2:B772)/A772</f>
        <v>124.53720489112099</v>
      </c>
      <c r="E772">
        <v>770</v>
      </c>
      <c r="F772" s="11">
        <f t="shared" si="51"/>
        <v>0</v>
      </c>
      <c r="G772">
        <f ca="1">SUM($F$2:F772)/E772</f>
        <v>126.75049675006822</v>
      </c>
      <c r="I772">
        <v>770</v>
      </c>
      <c r="J772">
        <f t="shared" si="52"/>
        <v>0</v>
      </c>
      <c r="K772">
        <f ca="1">SUM($J$2:J772)/I772</f>
        <v>124.53720489112099</v>
      </c>
      <c r="M772">
        <v>770</v>
      </c>
      <c r="N772">
        <f t="shared" si="53"/>
        <v>0</v>
      </c>
      <c r="O772">
        <f ca="1">SUM($N$2:N772)/M772</f>
        <v>126.75049675006822</v>
      </c>
    </row>
    <row r="773" spans="1:15" x14ac:dyDescent="0.2">
      <c r="A773">
        <v>771</v>
      </c>
      <c r="B773" s="11">
        <f t="shared" si="50"/>
        <v>0</v>
      </c>
      <c r="C773">
        <f ca="1">SUM($B$2:B773)/A773</f>
        <v>124.3756780365281</v>
      </c>
      <c r="E773">
        <v>771</v>
      </c>
      <c r="F773" s="11">
        <f t="shared" si="51"/>
        <v>0</v>
      </c>
      <c r="G773">
        <f ca="1">SUM($F$2:F773)/E773</f>
        <v>126.58609921861547</v>
      </c>
      <c r="I773">
        <v>771</v>
      </c>
      <c r="J773">
        <f t="shared" si="52"/>
        <v>0</v>
      </c>
      <c r="K773">
        <f ca="1">SUM($J$2:J773)/I773</f>
        <v>124.3756780365281</v>
      </c>
      <c r="M773">
        <v>771</v>
      </c>
      <c r="N773">
        <f t="shared" si="53"/>
        <v>0</v>
      </c>
      <c r="O773">
        <f ca="1">SUM($N$2:N773)/M773</f>
        <v>126.58609921861547</v>
      </c>
    </row>
    <row r="774" spans="1:15" x14ac:dyDescent="0.2">
      <c r="A774">
        <v>772</v>
      </c>
      <c r="B774" s="11">
        <f t="shared" si="50"/>
        <v>0</v>
      </c>
      <c r="C774">
        <f ca="1">SUM($B$2:B774)/A774</f>
        <v>124.21456964528907</v>
      </c>
      <c r="E774">
        <v>772</v>
      </c>
      <c r="F774" s="11">
        <f t="shared" si="51"/>
        <v>0</v>
      </c>
      <c r="G774">
        <f ca="1">SUM($F$2:F774)/E774</f>
        <v>126.42212758750328</v>
      </c>
      <c r="I774">
        <v>772</v>
      </c>
      <c r="J774">
        <f t="shared" si="52"/>
        <v>0</v>
      </c>
      <c r="K774">
        <f ca="1">SUM($J$2:J774)/I774</f>
        <v>124.21456964528907</v>
      </c>
      <c r="M774">
        <v>772</v>
      </c>
      <c r="N774">
        <f t="shared" si="53"/>
        <v>0</v>
      </c>
      <c r="O774">
        <f ca="1">SUM($N$2:N774)/M774</f>
        <v>126.42212758750328</v>
      </c>
    </row>
    <row r="775" spans="1:15" x14ac:dyDescent="0.2">
      <c r="A775">
        <v>773</v>
      </c>
      <c r="B775" s="11">
        <f t="shared" si="50"/>
        <v>0</v>
      </c>
      <c r="C775">
        <f ca="1">SUM($B$2:B775)/A775</f>
        <v>124.05387809335468</v>
      </c>
      <c r="E775">
        <v>773</v>
      </c>
      <c r="F775" s="11">
        <f t="shared" si="51"/>
        <v>0</v>
      </c>
      <c r="G775">
        <f ca="1">SUM($F$2:F775)/E775</f>
        <v>126.25858020381958</v>
      </c>
      <c r="I775">
        <v>773</v>
      </c>
      <c r="J775">
        <f t="shared" si="52"/>
        <v>0</v>
      </c>
      <c r="K775">
        <f ca="1">SUM($J$2:J775)/I775</f>
        <v>124.05387809335468</v>
      </c>
      <c r="M775">
        <v>773</v>
      </c>
      <c r="N775">
        <f t="shared" si="53"/>
        <v>0</v>
      </c>
      <c r="O775">
        <f ca="1">SUM($N$2:N775)/M775</f>
        <v>126.25858020381958</v>
      </c>
    </row>
    <row r="776" spans="1:15" x14ac:dyDescent="0.2">
      <c r="A776">
        <v>774</v>
      </c>
      <c r="B776" s="11">
        <f t="shared" si="50"/>
        <v>0</v>
      </c>
      <c r="C776">
        <f ca="1">SUM($B$2:B776)/A776</f>
        <v>123.89360176506869</v>
      </c>
      <c r="E776">
        <v>774</v>
      </c>
      <c r="F776" s="11">
        <f t="shared" si="51"/>
        <v>0</v>
      </c>
      <c r="G776">
        <f ca="1">SUM($F$2:F776)/E776</f>
        <v>126.09545542319449</v>
      </c>
      <c r="I776">
        <v>774</v>
      </c>
      <c r="J776">
        <f t="shared" si="52"/>
        <v>0</v>
      </c>
      <c r="K776">
        <f ca="1">SUM($J$2:J776)/I776</f>
        <v>123.89360176506869</v>
      </c>
      <c r="M776">
        <v>774</v>
      </c>
      <c r="N776">
        <f t="shared" si="53"/>
        <v>0</v>
      </c>
      <c r="O776">
        <f ca="1">SUM($N$2:N776)/M776</f>
        <v>126.09545542319449</v>
      </c>
    </row>
    <row r="777" spans="1:15" x14ac:dyDescent="0.2">
      <c r="A777">
        <v>775</v>
      </c>
      <c r="B777" s="11">
        <f t="shared" si="50"/>
        <v>0</v>
      </c>
      <c r="C777">
        <f ca="1">SUM($B$2:B777)/A777</f>
        <v>123.73373905311377</v>
      </c>
      <c r="E777">
        <v>775</v>
      </c>
      <c r="F777" s="11">
        <f t="shared" si="51"/>
        <v>0</v>
      </c>
      <c r="G777">
        <f ca="1">SUM($F$2:F777)/E777</f>
        <v>125.93275160974521</v>
      </c>
      <c r="I777">
        <v>775</v>
      </c>
      <c r="J777">
        <f t="shared" si="52"/>
        <v>0</v>
      </c>
      <c r="K777">
        <f ca="1">SUM($J$2:J777)/I777</f>
        <v>123.73373905311377</v>
      </c>
      <c r="M777">
        <v>775</v>
      </c>
      <c r="N777">
        <f t="shared" si="53"/>
        <v>0</v>
      </c>
      <c r="O777">
        <f ca="1">SUM($N$2:N777)/M777</f>
        <v>125.93275160974521</v>
      </c>
    </row>
    <row r="778" spans="1:15" x14ac:dyDescent="0.2">
      <c r="A778">
        <v>776</v>
      </c>
      <c r="B778" s="11">
        <f t="shared" si="50"/>
        <v>0</v>
      </c>
      <c r="C778">
        <f ca="1">SUM($B$2:B778)/A778</f>
        <v>123.57428835845769</v>
      </c>
      <c r="E778">
        <v>776</v>
      </c>
      <c r="F778" s="11">
        <f t="shared" si="51"/>
        <v>0</v>
      </c>
      <c r="G778">
        <f ca="1">SUM($F$2:F778)/E778</f>
        <v>125.77046713602131</v>
      </c>
      <c r="I778">
        <v>776</v>
      </c>
      <c r="J778">
        <f t="shared" si="52"/>
        <v>0</v>
      </c>
      <c r="K778">
        <f ca="1">SUM($J$2:J778)/I778</f>
        <v>123.57428835845769</v>
      </c>
      <c r="M778">
        <v>776</v>
      </c>
      <c r="N778">
        <f t="shared" si="53"/>
        <v>0</v>
      </c>
      <c r="O778">
        <f ca="1">SUM($N$2:N778)/M778</f>
        <v>125.77046713602131</v>
      </c>
    </row>
    <row r="779" spans="1:15" x14ac:dyDescent="0.2">
      <c r="A779">
        <v>777</v>
      </c>
      <c r="B779" s="11">
        <f t="shared" si="50"/>
        <v>0</v>
      </c>
      <c r="C779">
        <f ca="1">SUM($B$2:B779)/A779</f>
        <v>123.41524809030008</v>
      </c>
      <c r="E779">
        <v>777</v>
      </c>
      <c r="F779" s="11">
        <f t="shared" si="51"/>
        <v>0</v>
      </c>
      <c r="G779">
        <f ca="1">SUM($F$2:F779)/E779</f>
        <v>125.6086003829505</v>
      </c>
      <c r="I779">
        <v>777</v>
      </c>
      <c r="J779">
        <f t="shared" si="52"/>
        <v>0</v>
      </c>
      <c r="K779">
        <f ca="1">SUM($J$2:J779)/I779</f>
        <v>123.41524809030008</v>
      </c>
      <c r="M779">
        <v>777</v>
      </c>
      <c r="N779">
        <f t="shared" si="53"/>
        <v>0</v>
      </c>
      <c r="O779">
        <f ca="1">SUM($N$2:N779)/M779</f>
        <v>125.6086003829505</v>
      </c>
    </row>
    <row r="780" spans="1:15" x14ac:dyDescent="0.2">
      <c r="A780">
        <v>778</v>
      </c>
      <c r="B780" s="11">
        <f t="shared" si="50"/>
        <v>0</v>
      </c>
      <c r="C780">
        <f ca="1">SUM($B$2:B780)/A780</f>
        <v>123.2566166660195</v>
      </c>
      <c r="E780">
        <v>778</v>
      </c>
      <c r="F780" s="11">
        <f t="shared" si="51"/>
        <v>0</v>
      </c>
      <c r="G780">
        <f ca="1">SUM($F$2:F780)/E780</f>
        <v>125.44714973978475</v>
      </c>
      <c r="I780">
        <v>778</v>
      </c>
      <c r="J780">
        <f t="shared" si="52"/>
        <v>0</v>
      </c>
      <c r="K780">
        <f ca="1">SUM($J$2:J780)/I780</f>
        <v>123.2566166660195</v>
      </c>
      <c r="M780">
        <v>778</v>
      </c>
      <c r="N780">
        <f t="shared" si="53"/>
        <v>0</v>
      </c>
      <c r="O780">
        <f ca="1">SUM($N$2:N780)/M780</f>
        <v>125.44714973978475</v>
      </c>
    </row>
    <row r="781" spans="1:15" x14ac:dyDescent="0.2">
      <c r="A781">
        <v>779</v>
      </c>
      <c r="B781" s="11">
        <f t="shared" si="50"/>
        <v>0</v>
      </c>
      <c r="C781">
        <f ca="1">SUM($B$2:B781)/A781</f>
        <v>123.09839251112088</v>
      </c>
      <c r="E781">
        <v>779</v>
      </c>
      <c r="F781" s="11">
        <f t="shared" si="51"/>
        <v>0</v>
      </c>
      <c r="G781">
        <f ca="1">SUM($F$2:F781)/E781</f>
        <v>125.2861136040469</v>
      </c>
      <c r="I781">
        <v>779</v>
      </c>
      <c r="J781">
        <f t="shared" si="52"/>
        <v>0</v>
      </c>
      <c r="K781">
        <f ca="1">SUM($J$2:J781)/I781</f>
        <v>123.09839251112088</v>
      </c>
      <c r="M781">
        <v>779</v>
      </c>
      <c r="N781">
        <f t="shared" si="53"/>
        <v>0</v>
      </c>
      <c r="O781">
        <f ca="1">SUM($N$2:N781)/M781</f>
        <v>125.2861136040469</v>
      </c>
    </row>
    <row r="782" spans="1:15" x14ac:dyDescent="0.2">
      <c r="A782">
        <v>780</v>
      </c>
      <c r="B782" s="11">
        <f t="shared" si="50"/>
        <v>0</v>
      </c>
      <c r="C782">
        <f ca="1">SUM($B$2:B782)/A782</f>
        <v>122.94057405918355</v>
      </c>
      <c r="E782">
        <v>780</v>
      </c>
      <c r="F782" s="11">
        <f t="shared" si="51"/>
        <v>0</v>
      </c>
      <c r="G782">
        <f ca="1">SUM($F$2:F782)/E782</f>
        <v>125.1254903814776</v>
      </c>
      <c r="I782">
        <v>780</v>
      </c>
      <c r="J782">
        <f t="shared" si="52"/>
        <v>0</v>
      </c>
      <c r="K782">
        <f ca="1">SUM($J$2:J782)/I782</f>
        <v>122.94057405918355</v>
      </c>
      <c r="M782">
        <v>780</v>
      </c>
      <c r="N782">
        <f t="shared" si="53"/>
        <v>0</v>
      </c>
      <c r="O782">
        <f ca="1">SUM($N$2:N782)/M782</f>
        <v>125.1254903814776</v>
      </c>
    </row>
    <row r="783" spans="1:15" x14ac:dyDescent="0.2">
      <c r="A783">
        <v>781</v>
      </c>
      <c r="B783" s="11">
        <f t="shared" si="50"/>
        <v>0</v>
      </c>
      <c r="C783">
        <f ca="1">SUM($B$2:B783)/A783</f>
        <v>122.78315975180944</v>
      </c>
      <c r="E783">
        <v>781</v>
      </c>
      <c r="F783" s="11">
        <f t="shared" si="51"/>
        <v>0</v>
      </c>
      <c r="G783">
        <f ca="1">SUM($F$2:F783)/E783</f>
        <v>124.96527848598276</v>
      </c>
      <c r="I783">
        <v>781</v>
      </c>
      <c r="J783">
        <f t="shared" si="52"/>
        <v>0</v>
      </c>
      <c r="K783">
        <f ca="1">SUM($J$2:J783)/I783</f>
        <v>122.78315975180944</v>
      </c>
      <c r="M783">
        <v>781</v>
      </c>
      <c r="N783">
        <f t="shared" si="53"/>
        <v>0</v>
      </c>
      <c r="O783">
        <f ca="1">SUM($N$2:N783)/M783</f>
        <v>124.96527848598276</v>
      </c>
    </row>
    <row r="784" spans="1:15" x14ac:dyDescent="0.2">
      <c r="A784">
        <v>782</v>
      </c>
      <c r="B784" s="11">
        <f t="shared" si="50"/>
        <v>0</v>
      </c>
      <c r="C784">
        <f ca="1">SUM($B$2:B784)/A784</f>
        <v>122.62614803857183</v>
      </c>
      <c r="E784">
        <v>782</v>
      </c>
      <c r="F784" s="11">
        <f t="shared" si="51"/>
        <v>0</v>
      </c>
      <c r="G784">
        <f ca="1">SUM($F$2:F784)/E784</f>
        <v>124.80547633958125</v>
      </c>
      <c r="I784">
        <v>782</v>
      </c>
      <c r="J784">
        <f t="shared" si="52"/>
        <v>0</v>
      </c>
      <c r="K784">
        <f ca="1">SUM($J$2:J784)/I784</f>
        <v>122.62614803857183</v>
      </c>
      <c r="M784">
        <v>782</v>
      </c>
      <c r="N784">
        <f t="shared" si="53"/>
        <v>0</v>
      </c>
      <c r="O784">
        <f ca="1">SUM($N$2:N784)/M784</f>
        <v>124.80547633958125</v>
      </c>
    </row>
    <row r="785" spans="1:15" x14ac:dyDescent="0.2">
      <c r="A785">
        <v>783</v>
      </c>
      <c r="B785" s="11">
        <f t="shared" si="50"/>
        <v>0</v>
      </c>
      <c r="C785">
        <f ca="1">SUM($B$2:B785)/A785</f>
        <v>122.46953737696445</v>
      </c>
      <c r="E785">
        <v>783</v>
      </c>
      <c r="F785" s="11">
        <f t="shared" si="51"/>
        <v>0</v>
      </c>
      <c r="G785">
        <f ca="1">SUM($F$2:F785)/E785</f>
        <v>124.64608237235318</v>
      </c>
      <c r="I785">
        <v>783</v>
      </c>
      <c r="J785">
        <f t="shared" si="52"/>
        <v>0</v>
      </c>
      <c r="K785">
        <f ca="1">SUM($J$2:J785)/I785</f>
        <v>122.46953737696445</v>
      </c>
      <c r="M785">
        <v>783</v>
      </c>
      <c r="N785">
        <f t="shared" si="53"/>
        <v>0</v>
      </c>
      <c r="O785">
        <f ca="1">SUM($N$2:N785)/M785</f>
        <v>124.64608237235318</v>
      </c>
    </row>
    <row r="786" spans="1:15" x14ac:dyDescent="0.2">
      <c r="A786">
        <v>784</v>
      </c>
      <c r="B786" s="11">
        <f t="shared" si="50"/>
        <v>0</v>
      </c>
      <c r="C786">
        <f ca="1">SUM($B$2:B786)/A786</f>
        <v>122.31332623235097</v>
      </c>
      <c r="E786">
        <v>784</v>
      </c>
      <c r="F786" s="11">
        <f t="shared" si="51"/>
        <v>0</v>
      </c>
      <c r="G786">
        <f ca="1">SUM($F$2:F786)/E786</f>
        <v>124.48709502238843</v>
      </c>
      <c r="I786">
        <v>784</v>
      </c>
      <c r="J786">
        <f t="shared" si="52"/>
        <v>0</v>
      </c>
      <c r="K786">
        <f ca="1">SUM($J$2:J786)/I786</f>
        <v>122.31332623235097</v>
      </c>
      <c r="M786">
        <v>784</v>
      </c>
      <c r="N786">
        <f t="shared" si="53"/>
        <v>0</v>
      </c>
      <c r="O786">
        <f ca="1">SUM($N$2:N786)/M786</f>
        <v>124.48709502238843</v>
      </c>
    </row>
    <row r="787" spans="1:15" x14ac:dyDescent="0.2">
      <c r="A787">
        <v>785</v>
      </c>
      <c r="B787" s="11">
        <f t="shared" si="50"/>
        <v>0</v>
      </c>
      <c r="C787">
        <f ca="1">SUM($B$2:B787)/A787</f>
        <v>122.15751307791486</v>
      </c>
      <c r="E787">
        <v>785</v>
      </c>
      <c r="F787" s="11">
        <f t="shared" si="51"/>
        <v>0</v>
      </c>
      <c r="G787">
        <f ca="1">SUM($F$2:F787)/E787</f>
        <v>124.32851273573571</v>
      </c>
      <c r="I787">
        <v>785</v>
      </c>
      <c r="J787">
        <f t="shared" si="52"/>
        <v>0</v>
      </c>
      <c r="K787">
        <f ca="1">SUM($J$2:J787)/I787</f>
        <v>122.15751307791486</v>
      </c>
      <c r="M787">
        <v>785</v>
      </c>
      <c r="N787">
        <f t="shared" si="53"/>
        <v>0</v>
      </c>
      <c r="O787">
        <f ca="1">SUM($N$2:N787)/M787</f>
        <v>124.32851273573571</v>
      </c>
    </row>
    <row r="788" spans="1:15" x14ac:dyDescent="0.2">
      <c r="A788">
        <v>786</v>
      </c>
      <c r="B788" s="11">
        <f t="shared" si="50"/>
        <v>0</v>
      </c>
      <c r="C788">
        <f ca="1">SUM($B$2:B788)/A788</f>
        <v>122.00209639460962</v>
      </c>
      <c r="E788">
        <v>786</v>
      </c>
      <c r="F788" s="11">
        <f t="shared" si="51"/>
        <v>0</v>
      </c>
      <c r="G788">
        <f ca="1">SUM($F$2:F788)/E788</f>
        <v>124.17033396635182</v>
      </c>
      <c r="I788">
        <v>786</v>
      </c>
      <c r="J788">
        <f t="shared" si="52"/>
        <v>0</v>
      </c>
      <c r="K788">
        <f ca="1">SUM($J$2:J788)/I788</f>
        <v>122.00209639460962</v>
      </c>
      <c r="M788">
        <v>786</v>
      </c>
      <c r="N788">
        <f t="shared" si="53"/>
        <v>0</v>
      </c>
      <c r="O788">
        <f ca="1">SUM($N$2:N788)/M788</f>
        <v>124.17033396635182</v>
      </c>
    </row>
    <row r="789" spans="1:15" x14ac:dyDescent="0.2">
      <c r="A789">
        <v>787</v>
      </c>
      <c r="B789" s="11">
        <f t="shared" si="50"/>
        <v>0</v>
      </c>
      <c r="C789">
        <f ca="1">SUM($B$2:B789)/A789</f>
        <v>121.84707467110948</v>
      </c>
      <c r="E789">
        <v>787</v>
      </c>
      <c r="F789" s="11">
        <f t="shared" si="51"/>
        <v>0</v>
      </c>
      <c r="G789">
        <f ca="1">SUM($F$2:F789)/E789</f>
        <v>124.0125571760515</v>
      </c>
      <c r="I789">
        <v>787</v>
      </c>
      <c r="J789">
        <f t="shared" si="52"/>
        <v>0</v>
      </c>
      <c r="K789">
        <f ca="1">SUM($J$2:J789)/I789</f>
        <v>121.84707467110948</v>
      </c>
      <c r="M789">
        <v>787</v>
      </c>
      <c r="N789">
        <f t="shared" si="53"/>
        <v>0</v>
      </c>
      <c r="O789">
        <f ca="1">SUM($N$2:N789)/M789</f>
        <v>124.0125571760515</v>
      </c>
    </row>
    <row r="790" spans="1:15" x14ac:dyDescent="0.2">
      <c r="A790">
        <v>788</v>
      </c>
      <c r="B790" s="11">
        <f t="shared" si="50"/>
        <v>0</v>
      </c>
      <c r="C790">
        <f ca="1">SUM($B$2:B790)/A790</f>
        <v>121.69244640376036</v>
      </c>
      <c r="E790">
        <v>788</v>
      </c>
      <c r="F790" s="11">
        <f t="shared" si="51"/>
        <v>0</v>
      </c>
      <c r="G790">
        <f ca="1">SUM($F$2:F790)/E790</f>
        <v>123.85518083445753</v>
      </c>
      <c r="I790">
        <v>788</v>
      </c>
      <c r="J790">
        <f t="shared" si="52"/>
        <v>0</v>
      </c>
      <c r="K790">
        <f ca="1">SUM($J$2:J790)/I790</f>
        <v>121.69244640376036</v>
      </c>
      <c r="M790">
        <v>788</v>
      </c>
      <c r="N790">
        <f t="shared" si="53"/>
        <v>0</v>
      </c>
      <c r="O790">
        <f ca="1">SUM($N$2:N790)/M790</f>
        <v>123.85518083445753</v>
      </c>
    </row>
    <row r="791" spans="1:15" x14ac:dyDescent="0.2">
      <c r="A791">
        <v>789</v>
      </c>
      <c r="B791" s="11">
        <f t="shared" si="50"/>
        <v>0</v>
      </c>
      <c r="C791">
        <f ca="1">SUM($B$2:B791)/A791</f>
        <v>121.53821009653126</v>
      </c>
      <c r="E791">
        <v>789</v>
      </c>
      <c r="F791" s="11">
        <f t="shared" si="51"/>
        <v>0</v>
      </c>
      <c r="G791">
        <f ca="1">SUM($F$2:F791)/E791</f>
        <v>123.69820341895125</v>
      </c>
      <c r="I791">
        <v>789</v>
      </c>
      <c r="J791">
        <f t="shared" si="52"/>
        <v>0</v>
      </c>
      <c r="K791">
        <f ca="1">SUM($J$2:J791)/I791</f>
        <v>121.53821009653126</v>
      </c>
      <c r="M791">
        <v>789</v>
      </c>
      <c r="N791">
        <f t="shared" si="53"/>
        <v>0</v>
      </c>
      <c r="O791">
        <f ca="1">SUM($N$2:N791)/M791</f>
        <v>123.69820341895125</v>
      </c>
    </row>
    <row r="792" spans="1:15" x14ac:dyDescent="0.2">
      <c r="A792">
        <v>790</v>
      </c>
      <c r="B792" s="11">
        <f t="shared" si="50"/>
        <v>0</v>
      </c>
      <c r="C792">
        <f ca="1">SUM($B$2:B792)/A792</f>
        <v>121.38436426096604</v>
      </c>
      <c r="E792">
        <v>790</v>
      </c>
      <c r="F792" s="11">
        <f t="shared" si="51"/>
        <v>0</v>
      </c>
      <c r="G792">
        <f ca="1">SUM($F$2:F792)/E792</f>
        <v>123.54162341462346</v>
      </c>
      <c r="I792">
        <v>790</v>
      </c>
      <c r="J792">
        <f t="shared" si="52"/>
        <v>0</v>
      </c>
      <c r="K792">
        <f ca="1">SUM($J$2:J792)/I792</f>
        <v>121.38436426096604</v>
      </c>
      <c r="M792">
        <v>790</v>
      </c>
      <c r="N792">
        <f t="shared" si="53"/>
        <v>0</v>
      </c>
      <c r="O792">
        <f ca="1">SUM($N$2:N792)/M792</f>
        <v>123.54162341462346</v>
      </c>
    </row>
    <row r="793" spans="1:15" x14ac:dyDescent="0.2">
      <c r="A793">
        <v>791</v>
      </c>
      <c r="B793" s="11">
        <f t="shared" si="50"/>
        <v>0</v>
      </c>
      <c r="C793">
        <f ca="1">SUM($B$2:B793)/A793</f>
        <v>121.23090741613548</v>
      </c>
      <c r="E793">
        <v>791</v>
      </c>
      <c r="F793" s="11">
        <f t="shared" si="51"/>
        <v>0</v>
      </c>
      <c r="G793">
        <f ca="1">SUM($F$2:F793)/E793</f>
        <v>123.38543931422571</v>
      </c>
      <c r="I793">
        <v>791</v>
      </c>
      <c r="J793">
        <f t="shared" si="52"/>
        <v>0</v>
      </c>
      <c r="K793">
        <f ca="1">SUM($J$2:J793)/I793</f>
        <v>121.23090741613548</v>
      </c>
      <c r="M793">
        <v>791</v>
      </c>
      <c r="N793">
        <f t="shared" si="53"/>
        <v>0</v>
      </c>
      <c r="O793">
        <f ca="1">SUM($N$2:N793)/M793</f>
        <v>123.38543931422571</v>
      </c>
    </row>
    <row r="794" spans="1:15" x14ac:dyDescent="0.2">
      <c r="A794">
        <v>792</v>
      </c>
      <c r="B794" s="11">
        <f t="shared" si="50"/>
        <v>0</v>
      </c>
      <c r="C794">
        <f ca="1">SUM($B$2:B794)/A794</f>
        <v>121.07783808858986</v>
      </c>
      <c r="E794">
        <v>792</v>
      </c>
      <c r="F794" s="11">
        <f t="shared" si="51"/>
        <v>0</v>
      </c>
      <c r="G794">
        <f ca="1">SUM($F$2:F794)/E794</f>
        <v>123.22964961812188</v>
      </c>
      <c r="I794">
        <v>792</v>
      </c>
      <c r="J794">
        <f t="shared" si="52"/>
        <v>0</v>
      </c>
      <c r="K794">
        <f ca="1">SUM($J$2:J794)/I794</f>
        <v>121.07783808858986</v>
      </c>
      <c r="M794">
        <v>792</v>
      </c>
      <c r="N794">
        <f t="shared" si="53"/>
        <v>0</v>
      </c>
      <c r="O794">
        <f ca="1">SUM($N$2:N794)/M794</f>
        <v>123.22964961812188</v>
      </c>
    </row>
    <row r="795" spans="1:15" x14ac:dyDescent="0.2">
      <c r="A795">
        <v>793</v>
      </c>
      <c r="B795" s="11">
        <f t="shared" si="50"/>
        <v>0</v>
      </c>
      <c r="C795">
        <f ca="1">SUM($B$2:B795)/A795</f>
        <v>120.92515481231169</v>
      </c>
      <c r="E795">
        <v>793</v>
      </c>
      <c r="F795" s="11">
        <f t="shared" si="51"/>
        <v>0</v>
      </c>
      <c r="G795">
        <f ca="1">SUM($F$2:F795)/E795</f>
        <v>123.07425283424027</v>
      </c>
      <c r="I795">
        <v>793</v>
      </c>
      <c r="J795">
        <f t="shared" si="52"/>
        <v>0</v>
      </c>
      <c r="K795">
        <f ca="1">SUM($J$2:J795)/I795</f>
        <v>120.92515481231169</v>
      </c>
      <c r="M795">
        <v>793</v>
      </c>
      <c r="N795">
        <f t="shared" si="53"/>
        <v>0</v>
      </c>
      <c r="O795">
        <f ca="1">SUM($N$2:N795)/M795</f>
        <v>123.07425283424027</v>
      </c>
    </row>
    <row r="796" spans="1:15" x14ac:dyDescent="0.2">
      <c r="A796">
        <v>794</v>
      </c>
      <c r="B796" s="11">
        <f t="shared" si="50"/>
        <v>0</v>
      </c>
      <c r="C796">
        <f ca="1">SUM($B$2:B796)/A796</f>
        <v>120.77285612866898</v>
      </c>
      <c r="E796">
        <v>794</v>
      </c>
      <c r="F796" s="11">
        <f t="shared" si="51"/>
        <v>0</v>
      </c>
      <c r="G796">
        <f ca="1">SUM($F$2:F796)/E796</f>
        <v>122.91924747802587</v>
      </c>
      <c r="I796">
        <v>794</v>
      </c>
      <c r="J796">
        <f t="shared" si="52"/>
        <v>0</v>
      </c>
      <c r="K796">
        <f ca="1">SUM($J$2:J796)/I796</f>
        <v>120.77285612866898</v>
      </c>
      <c r="M796">
        <v>794</v>
      </c>
      <c r="N796">
        <f t="shared" si="53"/>
        <v>0</v>
      </c>
      <c r="O796">
        <f ca="1">SUM($N$2:N796)/M796</f>
        <v>122.91924747802587</v>
      </c>
    </row>
    <row r="797" spans="1:15" x14ac:dyDescent="0.2">
      <c r="A797">
        <v>795</v>
      </c>
      <c r="B797" s="11">
        <f t="shared" si="50"/>
        <v>0</v>
      </c>
      <c r="C797">
        <f ca="1">SUM($B$2:B797)/A797</f>
        <v>120.62094058636876</v>
      </c>
      <c r="E797">
        <v>795</v>
      </c>
      <c r="F797" s="11">
        <f t="shared" si="51"/>
        <v>0</v>
      </c>
      <c r="G797">
        <f ca="1">SUM($F$2:F797)/E797</f>
        <v>122.76463207239313</v>
      </c>
      <c r="I797">
        <v>795</v>
      </c>
      <c r="J797">
        <f t="shared" si="52"/>
        <v>0</v>
      </c>
      <c r="K797">
        <f ca="1">SUM($J$2:J797)/I797</f>
        <v>120.62094058636876</v>
      </c>
      <c r="M797">
        <v>795</v>
      </c>
      <c r="N797">
        <f t="shared" si="53"/>
        <v>0</v>
      </c>
      <c r="O797">
        <f ca="1">SUM($N$2:N797)/M797</f>
        <v>122.76463207239313</v>
      </c>
    </row>
    <row r="798" spans="1:15" x14ac:dyDescent="0.2">
      <c r="A798">
        <v>796</v>
      </c>
      <c r="B798" s="11">
        <f t="shared" si="50"/>
        <v>0</v>
      </c>
      <c r="C798">
        <f ca="1">SUM($B$2:B798)/A798</f>
        <v>120.46940674141101</v>
      </c>
      <c r="E798">
        <v>796</v>
      </c>
      <c r="F798" s="11">
        <f t="shared" si="51"/>
        <v>0</v>
      </c>
      <c r="G798">
        <f ca="1">SUM($F$2:F798)/E798</f>
        <v>122.61040514767906</v>
      </c>
      <c r="I798">
        <v>796</v>
      </c>
      <c r="J798">
        <f t="shared" si="52"/>
        <v>0</v>
      </c>
      <c r="K798">
        <f ca="1">SUM($J$2:J798)/I798</f>
        <v>120.46940674141101</v>
      </c>
      <c r="M798">
        <v>796</v>
      </c>
      <c r="N798">
        <f t="shared" si="53"/>
        <v>0</v>
      </c>
      <c r="O798">
        <f ca="1">SUM($N$2:N798)/M798</f>
        <v>122.61040514767906</v>
      </c>
    </row>
    <row r="799" spans="1:15" x14ac:dyDescent="0.2">
      <c r="A799">
        <v>797</v>
      </c>
      <c r="B799" s="11">
        <f t="shared" si="50"/>
        <v>0</v>
      </c>
      <c r="C799">
        <f ca="1">SUM($B$2:B799)/A799</f>
        <v>120.31825315704286</v>
      </c>
      <c r="E799">
        <v>797</v>
      </c>
      <c r="F799" s="11">
        <f t="shared" si="51"/>
        <v>0</v>
      </c>
      <c r="G799">
        <f ca="1">SUM($F$2:F799)/E799</f>
        <v>122.45656524159665</v>
      </c>
      <c r="I799">
        <v>797</v>
      </c>
      <c r="J799">
        <f t="shared" si="52"/>
        <v>0</v>
      </c>
      <c r="K799">
        <f ca="1">SUM($J$2:J799)/I799</f>
        <v>120.31825315704286</v>
      </c>
      <c r="M799">
        <v>797</v>
      </c>
      <c r="N799">
        <f t="shared" si="53"/>
        <v>0</v>
      </c>
      <c r="O799">
        <f ca="1">SUM($N$2:N799)/M799</f>
        <v>122.45656524159665</v>
      </c>
    </row>
    <row r="800" spans="1:15" x14ac:dyDescent="0.2">
      <c r="A800">
        <v>798</v>
      </c>
      <c r="B800" s="11">
        <f t="shared" si="50"/>
        <v>0</v>
      </c>
      <c r="C800">
        <f ca="1">SUM($B$2:B800)/A800</f>
        <v>120.16747840371323</v>
      </c>
      <c r="E800">
        <v>798</v>
      </c>
      <c r="F800" s="11">
        <f t="shared" si="51"/>
        <v>0</v>
      </c>
      <c r="G800">
        <f ca="1">SUM($F$2:F800)/E800</f>
        <v>122.30311089918864</v>
      </c>
      <c r="I800">
        <v>798</v>
      </c>
      <c r="J800">
        <f t="shared" si="52"/>
        <v>0</v>
      </c>
      <c r="K800">
        <f ca="1">SUM($J$2:J800)/I800</f>
        <v>120.16747840371323</v>
      </c>
      <c r="M800">
        <v>798</v>
      </c>
      <c r="N800">
        <f t="shared" si="53"/>
        <v>0</v>
      </c>
      <c r="O800">
        <f ca="1">SUM($N$2:N800)/M800</f>
        <v>122.30311089918864</v>
      </c>
    </row>
    <row r="801" spans="1:15" x14ac:dyDescent="0.2">
      <c r="A801">
        <v>799</v>
      </c>
      <c r="B801" s="11">
        <f t="shared" si="50"/>
        <v>0</v>
      </c>
      <c r="C801">
        <f ca="1">SUM($B$2:B801)/A801</f>
        <v>120.01708105902775</v>
      </c>
      <c r="E801">
        <v>799</v>
      </c>
      <c r="F801" s="11">
        <f t="shared" si="51"/>
        <v>0</v>
      </c>
      <c r="G801">
        <f ca="1">SUM($F$2:F801)/E801</f>
        <v>122.15004067278164</v>
      </c>
      <c r="I801">
        <v>799</v>
      </c>
      <c r="J801">
        <f t="shared" si="52"/>
        <v>0</v>
      </c>
      <c r="K801">
        <f ca="1">SUM($J$2:J801)/I801</f>
        <v>120.01708105902775</v>
      </c>
      <c r="M801">
        <v>799</v>
      </c>
      <c r="N801">
        <f t="shared" si="53"/>
        <v>0</v>
      </c>
      <c r="O801">
        <f ca="1">SUM($N$2:N801)/M801</f>
        <v>122.15004067278164</v>
      </c>
    </row>
    <row r="802" spans="1:15" x14ac:dyDescent="0.2">
      <c r="A802">
        <v>800</v>
      </c>
      <c r="B802" s="11">
        <f t="shared" si="50"/>
        <v>0</v>
      </c>
      <c r="C802">
        <f ca="1">SUM($B$2:B802)/A802</f>
        <v>119.86705970770396</v>
      </c>
      <c r="E802">
        <v>800</v>
      </c>
      <c r="F802" s="11">
        <f t="shared" si="51"/>
        <v>0</v>
      </c>
      <c r="G802">
        <f ca="1">SUM($F$2:F802)/E802</f>
        <v>121.99735312194066</v>
      </c>
      <c r="I802">
        <v>800</v>
      </c>
      <c r="J802">
        <f t="shared" si="52"/>
        <v>0</v>
      </c>
      <c r="K802">
        <f ca="1">SUM($J$2:J802)/I802</f>
        <v>119.86705970770396</v>
      </c>
      <c r="M802">
        <v>800</v>
      </c>
      <c r="N802">
        <f t="shared" si="53"/>
        <v>0</v>
      </c>
      <c r="O802">
        <f ca="1">SUM($N$2:N802)/M802</f>
        <v>121.99735312194066</v>
      </c>
    </row>
    <row r="803" spans="1:15" x14ac:dyDescent="0.2">
      <c r="A803">
        <v>801</v>
      </c>
      <c r="B803" s="11">
        <f t="shared" si="50"/>
        <v>0</v>
      </c>
      <c r="C803">
        <f ca="1">SUM($B$2:B803)/A803</f>
        <v>119.71741294152704</v>
      </c>
      <c r="E803">
        <v>801</v>
      </c>
      <c r="F803" s="11">
        <f t="shared" si="51"/>
        <v>0</v>
      </c>
      <c r="G803">
        <f ca="1">SUM($F$2:F803)/E803</f>
        <v>121.84504681342389</v>
      </c>
      <c r="I803">
        <v>801</v>
      </c>
      <c r="J803">
        <f t="shared" si="52"/>
        <v>0</v>
      </c>
      <c r="K803">
        <f ca="1">SUM($J$2:J803)/I803</f>
        <v>119.71741294152704</v>
      </c>
      <c r="M803">
        <v>801</v>
      </c>
      <c r="N803">
        <f t="shared" si="53"/>
        <v>0</v>
      </c>
      <c r="O803">
        <f ca="1">SUM($N$2:N803)/M803</f>
        <v>121.84504681342389</v>
      </c>
    </row>
    <row r="804" spans="1:15" x14ac:dyDescent="0.2">
      <c r="A804">
        <v>802</v>
      </c>
      <c r="B804" s="11">
        <f t="shared" si="50"/>
        <v>0</v>
      </c>
      <c r="C804">
        <f ca="1">SUM($B$2:B804)/A804</f>
        <v>119.56813935930569</v>
      </c>
      <c r="E804">
        <v>802</v>
      </c>
      <c r="F804" s="11">
        <f t="shared" si="51"/>
        <v>0</v>
      </c>
      <c r="G804">
        <f ca="1">SUM($F$2:F804)/E804</f>
        <v>121.69312032113783</v>
      </c>
      <c r="I804">
        <v>802</v>
      </c>
      <c r="J804">
        <f t="shared" si="52"/>
        <v>0</v>
      </c>
      <c r="K804">
        <f ca="1">SUM($J$2:J804)/I804</f>
        <v>119.56813935930569</v>
      </c>
      <c r="M804">
        <v>802</v>
      </c>
      <c r="N804">
        <f t="shared" si="53"/>
        <v>0</v>
      </c>
      <c r="O804">
        <f ca="1">SUM($N$2:N804)/M804</f>
        <v>121.69312032113783</v>
      </c>
    </row>
    <row r="805" spans="1:15" x14ac:dyDescent="0.2">
      <c r="A805">
        <v>803</v>
      </c>
      <c r="B805" s="11">
        <f t="shared" si="50"/>
        <v>0</v>
      </c>
      <c r="C805">
        <f ca="1">SUM($B$2:B805)/A805</f>
        <v>119.41923756682834</v>
      </c>
      <c r="E805">
        <v>803</v>
      </c>
      <c r="F805" s="11">
        <f t="shared" si="51"/>
        <v>0</v>
      </c>
      <c r="G805">
        <f ca="1">SUM($F$2:F805)/E805</f>
        <v>121.54157222609282</v>
      </c>
      <c r="I805">
        <v>803</v>
      </c>
      <c r="J805">
        <f t="shared" si="52"/>
        <v>0</v>
      </c>
      <c r="K805">
        <f ca="1">SUM($J$2:J805)/I805</f>
        <v>119.41923756682834</v>
      </c>
      <c r="M805">
        <v>803</v>
      </c>
      <c r="N805">
        <f t="shared" si="53"/>
        <v>0</v>
      </c>
      <c r="O805">
        <f ca="1">SUM($N$2:N805)/M805</f>
        <v>121.54157222609282</v>
      </c>
    </row>
    <row r="806" spans="1:15" x14ac:dyDescent="0.2">
      <c r="A806">
        <v>804</v>
      </c>
      <c r="B806" s="11">
        <f t="shared" si="50"/>
        <v>0</v>
      </c>
      <c r="C806">
        <f ca="1">SUM($B$2:B806)/A806</f>
        <v>119.27070617681986</v>
      </c>
      <c r="E806">
        <v>804</v>
      </c>
      <c r="F806" s="11">
        <f t="shared" si="51"/>
        <v>0</v>
      </c>
      <c r="G806">
        <f ca="1">SUM($F$2:F806)/E806</f>
        <v>121.39040111635887</v>
      </c>
      <c r="I806">
        <v>804</v>
      </c>
      <c r="J806">
        <f t="shared" si="52"/>
        <v>0</v>
      </c>
      <c r="K806">
        <f ca="1">SUM($J$2:J806)/I806</f>
        <v>119.27070617681986</v>
      </c>
      <c r="M806">
        <v>804</v>
      </c>
      <c r="N806">
        <f t="shared" si="53"/>
        <v>0</v>
      </c>
      <c r="O806">
        <f ca="1">SUM($N$2:N806)/M806</f>
        <v>121.39040111635887</v>
      </c>
    </row>
    <row r="807" spans="1:15" x14ac:dyDescent="0.2">
      <c r="A807">
        <v>805</v>
      </c>
      <c r="B807" s="11">
        <f t="shared" si="50"/>
        <v>0</v>
      </c>
      <c r="C807">
        <f ca="1">SUM($B$2:B807)/A807</f>
        <v>119.12254380889834</v>
      </c>
      <c r="E807">
        <v>805</v>
      </c>
      <c r="F807" s="11">
        <f t="shared" si="51"/>
        <v>0</v>
      </c>
      <c r="G807">
        <f ca="1">SUM($F$2:F807)/E807</f>
        <v>121.23960558702179</v>
      </c>
      <c r="I807">
        <v>805</v>
      </c>
      <c r="J807">
        <f t="shared" si="52"/>
        <v>0</v>
      </c>
      <c r="K807">
        <f ca="1">SUM($J$2:J807)/I807</f>
        <v>119.12254380889834</v>
      </c>
      <c r="M807">
        <v>805</v>
      </c>
      <c r="N807">
        <f t="shared" si="53"/>
        <v>0</v>
      </c>
      <c r="O807">
        <f ca="1">SUM($N$2:N807)/M807</f>
        <v>121.23960558702179</v>
      </c>
    </row>
    <row r="808" spans="1:15" x14ac:dyDescent="0.2">
      <c r="A808">
        <v>806</v>
      </c>
      <c r="B808" s="11">
        <f t="shared" si="50"/>
        <v>0</v>
      </c>
      <c r="C808">
        <f ca="1">SUM($B$2:B808)/A808</f>
        <v>118.97474908953247</v>
      </c>
      <c r="E808">
        <v>806</v>
      </c>
      <c r="F808" s="11">
        <f t="shared" si="51"/>
        <v>0</v>
      </c>
      <c r="G808">
        <f ca="1">SUM($F$2:F808)/E808</f>
        <v>121.08918424013962</v>
      </c>
      <c r="I808">
        <v>806</v>
      </c>
      <c r="J808">
        <f t="shared" si="52"/>
        <v>0</v>
      </c>
      <c r="K808">
        <f ca="1">SUM($J$2:J808)/I808</f>
        <v>118.97474908953247</v>
      </c>
      <c r="M808">
        <v>806</v>
      </c>
      <c r="N808">
        <f t="shared" si="53"/>
        <v>0</v>
      </c>
      <c r="O808">
        <f ca="1">SUM($N$2:N808)/M808</f>
        <v>121.08918424013962</v>
      </c>
    </row>
    <row r="809" spans="1:15" x14ac:dyDescent="0.2">
      <c r="A809">
        <v>807</v>
      </c>
      <c r="B809" s="11">
        <f t="shared" si="50"/>
        <v>0</v>
      </c>
      <c r="C809">
        <f ca="1">SUM($B$2:B809)/A809</f>
        <v>118.82732065199896</v>
      </c>
      <c r="E809">
        <v>807</v>
      </c>
      <c r="F809" s="11">
        <f t="shared" si="51"/>
        <v>0</v>
      </c>
      <c r="G809">
        <f ca="1">SUM($F$2:F809)/E809</f>
        <v>120.93913568469955</v>
      </c>
      <c r="I809">
        <v>807</v>
      </c>
      <c r="J809">
        <f t="shared" si="52"/>
        <v>0</v>
      </c>
      <c r="K809">
        <f ca="1">SUM($J$2:J809)/I809</f>
        <v>118.82732065199896</v>
      </c>
      <c r="M809">
        <v>807</v>
      </c>
      <c r="N809">
        <f t="shared" si="53"/>
        <v>0</v>
      </c>
      <c r="O809">
        <f ca="1">SUM($N$2:N809)/M809</f>
        <v>120.93913568469955</v>
      </c>
    </row>
    <row r="810" spans="1:15" x14ac:dyDescent="0.2">
      <c r="A810">
        <v>808</v>
      </c>
      <c r="B810" s="11">
        <f t="shared" si="50"/>
        <v>0</v>
      </c>
      <c r="C810">
        <f ca="1">SUM($B$2:B810)/A810</f>
        <v>118.68025713634056</v>
      </c>
      <c r="E810">
        <v>808</v>
      </c>
      <c r="F810" s="11">
        <f t="shared" si="51"/>
        <v>0</v>
      </c>
      <c r="G810">
        <f ca="1">SUM($F$2:F810)/E810</f>
        <v>120.78945853657493</v>
      </c>
      <c r="I810">
        <v>808</v>
      </c>
      <c r="J810">
        <f t="shared" si="52"/>
        <v>0</v>
      </c>
      <c r="K810">
        <f ca="1">SUM($J$2:J810)/I810</f>
        <v>118.68025713634056</v>
      </c>
      <c r="M810">
        <v>808</v>
      </c>
      <c r="N810">
        <f t="shared" si="53"/>
        <v>0</v>
      </c>
      <c r="O810">
        <f ca="1">SUM($N$2:N810)/M810</f>
        <v>120.78945853657493</v>
      </c>
    </row>
    <row r="811" spans="1:15" x14ac:dyDescent="0.2">
      <c r="A811">
        <v>809</v>
      </c>
      <c r="B811" s="11">
        <f t="shared" si="50"/>
        <v>0</v>
      </c>
      <c r="C811">
        <f ca="1">SUM($B$2:B811)/A811</f>
        <v>118.53355718932406</v>
      </c>
      <c r="E811">
        <v>809</v>
      </c>
      <c r="F811" s="11">
        <f t="shared" si="51"/>
        <v>0</v>
      </c>
      <c r="G811">
        <f ca="1">SUM($F$2:F811)/E811</f>
        <v>120.64015141848274</v>
      </c>
      <c r="I811">
        <v>809</v>
      </c>
      <c r="J811">
        <f t="shared" si="52"/>
        <v>0</v>
      </c>
      <c r="K811">
        <f ca="1">SUM($J$2:J811)/I811</f>
        <v>118.53355718932406</v>
      </c>
      <c r="M811">
        <v>809</v>
      </c>
      <c r="N811">
        <f t="shared" si="53"/>
        <v>0</v>
      </c>
      <c r="O811">
        <f ca="1">SUM($N$2:N811)/M811</f>
        <v>120.64015141848274</v>
      </c>
    </row>
    <row r="812" spans="1:15" x14ac:dyDescent="0.2">
      <c r="A812">
        <v>810</v>
      </c>
      <c r="B812" s="11">
        <f t="shared" si="50"/>
        <v>0</v>
      </c>
      <c r="C812">
        <f ca="1">SUM($B$2:B812)/A812</f>
        <v>118.38721946439897</v>
      </c>
      <c r="E812">
        <v>810</v>
      </c>
      <c r="F812" s="11">
        <f t="shared" si="51"/>
        <v>0</v>
      </c>
      <c r="G812">
        <f ca="1">SUM($F$2:F812)/E812</f>
        <v>120.49121295994141</v>
      </c>
      <c r="I812">
        <v>810</v>
      </c>
      <c r="J812">
        <f t="shared" si="52"/>
        <v>0</v>
      </c>
      <c r="K812">
        <f ca="1">SUM($J$2:J812)/I812</f>
        <v>118.38721946439897</v>
      </c>
      <c r="M812">
        <v>810</v>
      </c>
      <c r="N812">
        <f t="shared" si="53"/>
        <v>0</v>
      </c>
      <c r="O812">
        <f ca="1">SUM($N$2:N812)/M812</f>
        <v>120.49121295994141</v>
      </c>
    </row>
    <row r="813" spans="1:15" x14ac:dyDescent="0.2">
      <c r="A813">
        <v>811</v>
      </c>
      <c r="B813" s="11">
        <f t="shared" si="50"/>
        <v>0</v>
      </c>
      <c r="C813">
        <f ca="1">SUM($B$2:B813)/A813</f>
        <v>118.24124262165618</v>
      </c>
      <c r="E813">
        <v>811</v>
      </c>
      <c r="F813" s="11">
        <f t="shared" si="51"/>
        <v>0</v>
      </c>
      <c r="G813">
        <f ca="1">SUM($F$2:F813)/E813</f>
        <v>120.34264179722878</v>
      </c>
      <c r="I813">
        <v>811</v>
      </c>
      <c r="J813">
        <f t="shared" si="52"/>
        <v>0</v>
      </c>
      <c r="K813">
        <f ca="1">SUM($J$2:J813)/I813</f>
        <v>118.24124262165618</v>
      </c>
      <c r="M813">
        <v>811</v>
      </c>
      <c r="N813">
        <f t="shared" si="53"/>
        <v>0</v>
      </c>
      <c r="O813">
        <f ca="1">SUM($N$2:N813)/M813</f>
        <v>120.34264179722878</v>
      </c>
    </row>
    <row r="814" spans="1:15" x14ac:dyDescent="0.2">
      <c r="A814">
        <v>812</v>
      </c>
      <c r="B814" s="11">
        <f t="shared" si="50"/>
        <v>0</v>
      </c>
      <c r="C814">
        <f ca="1">SUM($B$2:B814)/A814</f>
        <v>118.09562532778715</v>
      </c>
      <c r="E814">
        <v>812</v>
      </c>
      <c r="F814" s="11">
        <f t="shared" si="51"/>
        <v>0</v>
      </c>
      <c r="G814">
        <f ca="1">SUM($F$2:F814)/E814</f>
        <v>120.19443657334055</v>
      </c>
      <c r="I814">
        <v>812</v>
      </c>
      <c r="J814">
        <f t="shared" si="52"/>
        <v>0</v>
      </c>
      <c r="K814">
        <f ca="1">SUM($J$2:J814)/I814</f>
        <v>118.09562532778715</v>
      </c>
      <c r="M814">
        <v>812</v>
      </c>
      <c r="N814">
        <f t="shared" si="53"/>
        <v>0</v>
      </c>
      <c r="O814">
        <f ca="1">SUM($N$2:N814)/M814</f>
        <v>120.19443657334055</v>
      </c>
    </row>
    <row r="815" spans="1:15" x14ac:dyDescent="0.2">
      <c r="A815">
        <v>813</v>
      </c>
      <c r="B815" s="11">
        <f t="shared" si="50"/>
        <v>0</v>
      </c>
      <c r="C815">
        <f ca="1">SUM($B$2:B815)/A815</f>
        <v>117.95036625604325</v>
      </c>
      <c r="E815">
        <v>813</v>
      </c>
      <c r="F815" s="11">
        <f t="shared" si="51"/>
        <v>0</v>
      </c>
      <c r="G815">
        <f ca="1">SUM($F$2:F815)/E815</f>
        <v>120.04659593794899</v>
      </c>
      <c r="I815">
        <v>813</v>
      </c>
      <c r="J815">
        <f t="shared" si="52"/>
        <v>0</v>
      </c>
      <c r="K815">
        <f ca="1">SUM($J$2:J815)/I815</f>
        <v>117.95036625604325</v>
      </c>
      <c r="M815">
        <v>813</v>
      </c>
      <c r="N815">
        <f t="shared" si="53"/>
        <v>0</v>
      </c>
      <c r="O815">
        <f ca="1">SUM($N$2:N815)/M815</f>
        <v>120.04659593794899</v>
      </c>
    </row>
    <row r="816" spans="1:15" x14ac:dyDescent="0.2">
      <c r="A816">
        <v>814</v>
      </c>
      <c r="B816" s="11">
        <f t="shared" si="50"/>
        <v>0</v>
      </c>
      <c r="C816">
        <f ca="1">SUM($B$2:B816)/A816</f>
        <v>117.80546408619553</v>
      </c>
      <c r="E816">
        <v>814</v>
      </c>
      <c r="F816" s="11">
        <f t="shared" si="51"/>
        <v>0</v>
      </c>
      <c r="G816">
        <f ca="1">SUM($F$2:F816)/E816</f>
        <v>119.89911854736184</v>
      </c>
      <c r="I816">
        <v>814</v>
      </c>
      <c r="J816">
        <f t="shared" si="52"/>
        <v>0</v>
      </c>
      <c r="K816">
        <f ca="1">SUM($J$2:J816)/I816</f>
        <v>117.80546408619553</v>
      </c>
      <c r="M816">
        <v>814</v>
      </c>
      <c r="N816">
        <f t="shared" si="53"/>
        <v>0</v>
      </c>
      <c r="O816">
        <f ca="1">SUM($N$2:N816)/M816</f>
        <v>119.89911854736184</v>
      </c>
    </row>
    <row r="817" spans="1:15" x14ac:dyDescent="0.2">
      <c r="A817">
        <v>815</v>
      </c>
      <c r="B817" s="11">
        <f t="shared" si="50"/>
        <v>0</v>
      </c>
      <c r="C817">
        <f ca="1">SUM($B$2:B817)/A817</f>
        <v>117.66091750449468</v>
      </c>
      <c r="E817">
        <v>815</v>
      </c>
      <c r="F817" s="11">
        <f t="shared" si="51"/>
        <v>0</v>
      </c>
      <c r="G817">
        <f ca="1">SUM($F$2:F817)/E817</f>
        <v>119.75200306448164</v>
      </c>
      <c r="I817">
        <v>815</v>
      </c>
      <c r="J817">
        <f t="shared" si="52"/>
        <v>0</v>
      </c>
      <c r="K817">
        <f ca="1">SUM($J$2:J817)/I817</f>
        <v>117.66091750449468</v>
      </c>
      <c r="M817">
        <v>815</v>
      </c>
      <c r="N817">
        <f t="shared" si="53"/>
        <v>0</v>
      </c>
      <c r="O817">
        <f ca="1">SUM($N$2:N817)/M817</f>
        <v>119.75200306448164</v>
      </c>
    </row>
    <row r="818" spans="1:15" x14ac:dyDescent="0.2">
      <c r="A818">
        <v>816</v>
      </c>
      <c r="B818" s="11">
        <f t="shared" si="50"/>
        <v>0</v>
      </c>
      <c r="C818">
        <f ca="1">SUM($B$2:B818)/A818</f>
        <v>117.51672520363132</v>
      </c>
      <c r="E818">
        <v>816</v>
      </c>
      <c r="F818" s="11">
        <f t="shared" si="51"/>
        <v>0</v>
      </c>
      <c r="G818">
        <f ca="1">SUM($F$2:F818)/E818</f>
        <v>119.60524815876536</v>
      </c>
      <c r="I818">
        <v>816</v>
      </c>
      <c r="J818">
        <f t="shared" si="52"/>
        <v>0</v>
      </c>
      <c r="K818">
        <f ca="1">SUM($J$2:J818)/I818</f>
        <v>117.51672520363132</v>
      </c>
      <c r="M818">
        <v>816</v>
      </c>
      <c r="N818">
        <f t="shared" si="53"/>
        <v>0</v>
      </c>
      <c r="O818">
        <f ca="1">SUM($N$2:N818)/M818</f>
        <v>119.60524815876536</v>
      </c>
    </row>
    <row r="819" spans="1:15" x14ac:dyDescent="0.2">
      <c r="A819">
        <v>817</v>
      </c>
      <c r="B819" s="11">
        <f t="shared" si="50"/>
        <v>0</v>
      </c>
      <c r="C819">
        <f ca="1">SUM($B$2:B819)/A819</f>
        <v>117.37288588269665</v>
      </c>
      <c r="E819">
        <v>817</v>
      </c>
      <c r="F819" s="11">
        <f t="shared" si="51"/>
        <v>0</v>
      </c>
      <c r="G819">
        <f ca="1">SUM($F$2:F819)/E819</f>
        <v>119.45885250618426</v>
      </c>
      <c r="I819">
        <v>817</v>
      </c>
      <c r="J819">
        <f t="shared" si="52"/>
        <v>0</v>
      </c>
      <c r="K819">
        <f ca="1">SUM($J$2:J819)/I819</f>
        <v>117.37288588269665</v>
      </c>
      <c r="M819">
        <v>817</v>
      </c>
      <c r="N819">
        <f t="shared" si="53"/>
        <v>0</v>
      </c>
      <c r="O819">
        <f ca="1">SUM($N$2:N819)/M819</f>
        <v>119.45885250618426</v>
      </c>
    </row>
    <row r="820" spans="1:15" x14ac:dyDescent="0.2">
      <c r="A820">
        <v>818</v>
      </c>
      <c r="B820" s="11">
        <f t="shared" si="50"/>
        <v>0</v>
      </c>
      <c r="C820">
        <f ca="1">SUM($B$2:B820)/A820</f>
        <v>117.22939824714324</v>
      </c>
      <c r="E820">
        <v>818</v>
      </c>
      <c r="F820" s="11">
        <f t="shared" si="51"/>
        <v>0</v>
      </c>
      <c r="G820">
        <f ca="1">SUM($F$2:F820)/E820</f>
        <v>119.31281478918403</v>
      </c>
      <c r="I820">
        <v>818</v>
      </c>
      <c r="J820">
        <f t="shared" si="52"/>
        <v>0</v>
      </c>
      <c r="K820">
        <f ca="1">SUM($J$2:J820)/I820</f>
        <v>117.22939824714324</v>
      </c>
      <c r="M820">
        <v>818</v>
      </c>
      <c r="N820">
        <f t="shared" si="53"/>
        <v>0</v>
      </c>
      <c r="O820">
        <f ca="1">SUM($N$2:N820)/M820</f>
        <v>119.31281478918403</v>
      </c>
    </row>
    <row r="821" spans="1:15" x14ac:dyDescent="0.2">
      <c r="A821">
        <v>819</v>
      </c>
      <c r="B821" s="11">
        <f t="shared" si="50"/>
        <v>0</v>
      </c>
      <c r="C821">
        <f ca="1">SUM($B$2:B821)/A821</f>
        <v>117.08626100874623</v>
      </c>
      <c r="E821">
        <v>819</v>
      </c>
      <c r="F821" s="11">
        <f t="shared" si="51"/>
        <v>0</v>
      </c>
      <c r="G821">
        <f ca="1">SUM($F$2:F821)/E821</f>
        <v>119.16713369664534</v>
      </c>
      <c r="I821">
        <v>819</v>
      </c>
      <c r="J821">
        <f t="shared" si="52"/>
        <v>0</v>
      </c>
      <c r="K821">
        <f ca="1">SUM($J$2:J821)/I821</f>
        <v>117.08626100874623</v>
      </c>
      <c r="M821">
        <v>819</v>
      </c>
      <c r="N821">
        <f t="shared" si="53"/>
        <v>0</v>
      </c>
      <c r="O821">
        <f ca="1">SUM($N$2:N821)/M821</f>
        <v>119.16713369664534</v>
      </c>
    </row>
    <row r="822" spans="1:15" x14ac:dyDescent="0.2">
      <c r="A822">
        <v>820</v>
      </c>
      <c r="B822" s="11">
        <f t="shared" si="50"/>
        <v>0</v>
      </c>
      <c r="C822">
        <f ca="1">SUM($B$2:B822)/A822</f>
        <v>116.94347288556483</v>
      </c>
      <c r="E822">
        <v>820</v>
      </c>
      <c r="F822" s="11">
        <f t="shared" si="51"/>
        <v>0</v>
      </c>
      <c r="G822">
        <f ca="1">SUM($F$2:F822)/E822</f>
        <v>119.02180792384455</v>
      </c>
      <c r="I822">
        <v>820</v>
      </c>
      <c r="J822">
        <f t="shared" si="52"/>
        <v>0</v>
      </c>
      <c r="K822">
        <f ca="1">SUM($J$2:J822)/I822</f>
        <v>116.94347288556483</v>
      </c>
      <c r="M822">
        <v>820</v>
      </c>
      <c r="N822">
        <f t="shared" si="53"/>
        <v>0</v>
      </c>
      <c r="O822">
        <f ca="1">SUM($N$2:N822)/M822</f>
        <v>119.02180792384455</v>
      </c>
    </row>
    <row r="823" spans="1:15" x14ac:dyDescent="0.2">
      <c r="A823">
        <v>821</v>
      </c>
      <c r="B823" s="11">
        <f t="shared" si="50"/>
        <v>0</v>
      </c>
      <c r="C823">
        <f ca="1">SUM($B$2:B823)/A823</f>
        <v>116.80103260190398</v>
      </c>
      <c r="E823">
        <v>821</v>
      </c>
      <c r="F823" s="11">
        <f t="shared" si="51"/>
        <v>0</v>
      </c>
      <c r="G823">
        <f ca="1">SUM($F$2:F823)/E823</f>
        <v>118.87683617241478</v>
      </c>
      <c r="I823">
        <v>821</v>
      </c>
      <c r="J823">
        <f t="shared" si="52"/>
        <v>0</v>
      </c>
      <c r="K823">
        <f ca="1">SUM($J$2:J823)/I823</f>
        <v>116.80103260190398</v>
      </c>
      <c r="M823">
        <v>821</v>
      </c>
      <c r="N823">
        <f t="shared" si="53"/>
        <v>0</v>
      </c>
      <c r="O823">
        <f ca="1">SUM($N$2:N823)/M823</f>
        <v>118.87683617241478</v>
      </c>
    </row>
    <row r="824" spans="1:15" x14ac:dyDescent="0.2">
      <c r="A824">
        <v>822</v>
      </c>
      <c r="B824" s="11">
        <f t="shared" si="50"/>
        <v>0</v>
      </c>
      <c r="C824">
        <f ca="1">SUM($B$2:B824)/A824</f>
        <v>116.65893888827635</v>
      </c>
      <c r="E824">
        <v>822</v>
      </c>
      <c r="F824" s="11">
        <f t="shared" si="51"/>
        <v>0</v>
      </c>
      <c r="G824">
        <f ca="1">SUM($F$2:F824)/E824</f>
        <v>118.73221715030722</v>
      </c>
      <c r="I824">
        <v>822</v>
      </c>
      <c r="J824">
        <f t="shared" si="52"/>
        <v>0</v>
      </c>
      <c r="K824">
        <f ca="1">SUM($J$2:J824)/I824</f>
        <v>116.65893888827635</v>
      </c>
      <c r="M824">
        <v>822</v>
      </c>
      <c r="N824">
        <f t="shared" si="53"/>
        <v>0</v>
      </c>
      <c r="O824">
        <f ca="1">SUM($N$2:N824)/M824</f>
        <v>118.73221715030722</v>
      </c>
    </row>
    <row r="825" spans="1:15" x14ac:dyDescent="0.2">
      <c r="A825">
        <v>823</v>
      </c>
      <c r="B825" s="11">
        <f t="shared" si="50"/>
        <v>0</v>
      </c>
      <c r="C825">
        <f ca="1">SUM($B$2:B825)/A825</f>
        <v>116.51719048136472</v>
      </c>
      <c r="E825">
        <v>823</v>
      </c>
      <c r="F825" s="11">
        <f t="shared" si="51"/>
        <v>0</v>
      </c>
      <c r="G825">
        <f ca="1">SUM($F$2:F825)/E825</f>
        <v>118.58794957175277</v>
      </c>
      <c r="I825">
        <v>823</v>
      </c>
      <c r="J825">
        <f t="shared" si="52"/>
        <v>0</v>
      </c>
      <c r="K825">
        <f ca="1">SUM($J$2:J825)/I825</f>
        <v>116.51719048136472</v>
      </c>
      <c r="M825">
        <v>823</v>
      </c>
      <c r="N825">
        <f t="shared" si="53"/>
        <v>0</v>
      </c>
      <c r="O825">
        <f ca="1">SUM($N$2:N825)/M825</f>
        <v>118.58794957175277</v>
      </c>
    </row>
    <row r="826" spans="1:15" x14ac:dyDescent="0.2">
      <c r="A826">
        <v>824</v>
      </c>
      <c r="B826" s="11">
        <f t="shared" si="50"/>
        <v>0</v>
      </c>
      <c r="C826">
        <f ca="1">SUM($B$2:B826)/A826</f>
        <v>116.37578612398443</v>
      </c>
      <c r="E826">
        <v>824</v>
      </c>
      <c r="F826" s="11">
        <f t="shared" si="51"/>
        <v>0</v>
      </c>
      <c r="G826">
        <f ca="1">SUM($F$2:F826)/E826</f>
        <v>118.44403215722394</v>
      </c>
      <c r="I826">
        <v>824</v>
      </c>
      <c r="J826">
        <f t="shared" si="52"/>
        <v>0</v>
      </c>
      <c r="K826">
        <f ca="1">SUM($J$2:J826)/I826</f>
        <v>116.37578612398443</v>
      </c>
      <c r="M826">
        <v>824</v>
      </c>
      <c r="N826">
        <f t="shared" si="53"/>
        <v>0</v>
      </c>
      <c r="O826">
        <f ca="1">SUM($N$2:N826)/M826</f>
        <v>118.44403215722394</v>
      </c>
    </row>
    <row r="827" spans="1:15" x14ac:dyDescent="0.2">
      <c r="A827">
        <v>825</v>
      </c>
      <c r="B827" s="11">
        <f t="shared" si="50"/>
        <v>0</v>
      </c>
      <c r="C827">
        <f ca="1">SUM($B$2:B827)/A827</f>
        <v>116.23472456504626</v>
      </c>
      <c r="E827">
        <v>825</v>
      </c>
      <c r="F827" s="11">
        <f t="shared" si="51"/>
        <v>0</v>
      </c>
      <c r="G827">
        <f ca="1">SUM($F$2:F827)/E827</f>
        <v>118.30046363339702</v>
      </c>
      <c r="I827">
        <v>825</v>
      </c>
      <c r="J827">
        <f t="shared" si="52"/>
        <v>0</v>
      </c>
      <c r="K827">
        <f ca="1">SUM($J$2:J827)/I827</f>
        <v>116.23472456504626</v>
      </c>
      <c r="M827">
        <v>825</v>
      </c>
      <c r="N827">
        <f t="shared" si="53"/>
        <v>0</v>
      </c>
      <c r="O827">
        <f ca="1">SUM($N$2:N827)/M827</f>
        <v>118.30046363339702</v>
      </c>
    </row>
    <row r="828" spans="1:15" x14ac:dyDescent="0.2">
      <c r="A828">
        <v>826</v>
      </c>
      <c r="B828" s="11">
        <f t="shared" si="50"/>
        <v>0</v>
      </c>
      <c r="C828">
        <f ca="1">SUM($B$2:B828)/A828</f>
        <v>116.09400455951958</v>
      </c>
      <c r="E828">
        <v>826</v>
      </c>
      <c r="F828" s="11">
        <f t="shared" si="51"/>
        <v>0</v>
      </c>
      <c r="G828">
        <f ca="1">SUM($F$2:F828)/E828</f>
        <v>118.15724273311444</v>
      </c>
      <c r="I828">
        <v>826</v>
      </c>
      <c r="J828">
        <f t="shared" si="52"/>
        <v>0</v>
      </c>
      <c r="K828">
        <f ca="1">SUM($J$2:J828)/I828</f>
        <v>116.09400455951958</v>
      </c>
      <c r="M828">
        <v>826</v>
      </c>
      <c r="N828">
        <f t="shared" si="53"/>
        <v>0</v>
      </c>
      <c r="O828">
        <f ca="1">SUM($N$2:N828)/M828</f>
        <v>118.15724273311444</v>
      </c>
    </row>
    <row r="829" spans="1:15" x14ac:dyDescent="0.2">
      <c r="A829">
        <v>827</v>
      </c>
      <c r="B829" s="11">
        <f t="shared" si="50"/>
        <v>0</v>
      </c>
      <c r="C829">
        <f ca="1">SUM($B$2:B829)/A829</f>
        <v>115.95362486839561</v>
      </c>
      <c r="E829">
        <v>827</v>
      </c>
      <c r="F829" s="11">
        <f t="shared" si="51"/>
        <v>0</v>
      </c>
      <c r="G829">
        <f ca="1">SUM($F$2:F829)/E829</f>
        <v>118.01436819534769</v>
      </c>
      <c r="I829">
        <v>827</v>
      </c>
      <c r="J829">
        <f t="shared" si="52"/>
        <v>0</v>
      </c>
      <c r="K829">
        <f ca="1">SUM($J$2:J829)/I829</f>
        <v>115.95362486839561</v>
      </c>
      <c r="M829">
        <v>827</v>
      </c>
      <c r="N829">
        <f t="shared" si="53"/>
        <v>0</v>
      </c>
      <c r="O829">
        <f ca="1">SUM($N$2:N829)/M829</f>
        <v>118.01436819534769</v>
      </c>
    </row>
    <row r="830" spans="1:15" x14ac:dyDescent="0.2">
      <c r="A830">
        <v>828</v>
      </c>
      <c r="B830" s="11">
        <f t="shared" si="50"/>
        <v>0</v>
      </c>
      <c r="C830">
        <f ca="1">SUM($B$2:B830)/A830</f>
        <v>115.81358425865116</v>
      </c>
      <c r="E830">
        <v>828</v>
      </c>
      <c r="F830" s="11">
        <f t="shared" si="51"/>
        <v>0</v>
      </c>
      <c r="G830">
        <f ca="1">SUM($F$2:F830)/E830</f>
        <v>117.87183876516006</v>
      </c>
      <c r="I830">
        <v>828</v>
      </c>
      <c r="J830">
        <f t="shared" si="52"/>
        <v>0</v>
      </c>
      <c r="K830">
        <f ca="1">SUM($J$2:J830)/I830</f>
        <v>115.81358425865116</v>
      </c>
      <c r="M830">
        <v>828</v>
      </c>
      <c r="N830">
        <f t="shared" si="53"/>
        <v>0</v>
      </c>
      <c r="O830">
        <f ca="1">SUM($N$2:N830)/M830</f>
        <v>117.87183876516006</v>
      </c>
    </row>
    <row r="831" spans="1:15" x14ac:dyDescent="0.2">
      <c r="A831">
        <v>829</v>
      </c>
      <c r="B831" s="11">
        <f t="shared" si="50"/>
        <v>0</v>
      </c>
      <c r="C831">
        <f ca="1">SUM($B$2:B831)/A831</f>
        <v>115.6738815032125</v>
      </c>
      <c r="E831">
        <v>829</v>
      </c>
      <c r="F831" s="11">
        <f t="shared" si="51"/>
        <v>0</v>
      </c>
      <c r="G831">
        <f ca="1">SUM($F$2:F831)/E831</f>
        <v>117.72965319367013</v>
      </c>
      <c r="I831">
        <v>829</v>
      </c>
      <c r="J831">
        <f t="shared" si="52"/>
        <v>0</v>
      </c>
      <c r="K831">
        <f ca="1">SUM($J$2:J831)/I831</f>
        <v>115.6738815032125</v>
      </c>
      <c r="M831">
        <v>829</v>
      </c>
      <c r="N831">
        <f t="shared" si="53"/>
        <v>0</v>
      </c>
      <c r="O831">
        <f ca="1">SUM($N$2:N831)/M831</f>
        <v>117.72965319367013</v>
      </c>
    </row>
    <row r="832" spans="1:15" x14ac:dyDescent="0.2">
      <c r="A832">
        <v>830</v>
      </c>
      <c r="B832" s="11">
        <f t="shared" si="50"/>
        <v>0</v>
      </c>
      <c r="C832">
        <f ca="1">SUM($B$2:B832)/A832</f>
        <v>115.53451538091947</v>
      </c>
      <c r="E832">
        <v>830</v>
      </c>
      <c r="F832" s="11">
        <f t="shared" si="51"/>
        <v>0</v>
      </c>
      <c r="G832">
        <f ca="1">SUM($F$2:F832)/E832</f>
        <v>117.58781023801511</v>
      </c>
      <c r="I832">
        <v>830</v>
      </c>
      <c r="J832">
        <f t="shared" si="52"/>
        <v>0</v>
      </c>
      <c r="K832">
        <f ca="1">SUM($J$2:J832)/I832</f>
        <v>115.53451538091947</v>
      </c>
      <c r="M832">
        <v>830</v>
      </c>
      <c r="N832">
        <f t="shared" si="53"/>
        <v>0</v>
      </c>
      <c r="O832">
        <f ca="1">SUM($N$2:N832)/M832</f>
        <v>117.58781023801511</v>
      </c>
    </row>
    <row r="833" spans="1:15" x14ac:dyDescent="0.2">
      <c r="A833">
        <v>831</v>
      </c>
      <c r="B833" s="11">
        <f t="shared" si="50"/>
        <v>0</v>
      </c>
      <c r="C833">
        <f ca="1">SUM($B$2:B833)/A833</f>
        <v>115.39548467648997</v>
      </c>
      <c r="E833">
        <v>831</v>
      </c>
      <c r="F833" s="11">
        <f t="shared" si="51"/>
        <v>0</v>
      </c>
      <c r="G833">
        <f ca="1">SUM($F$2:F833)/E833</f>
        <v>117.44630866131472</v>
      </c>
      <c r="I833">
        <v>831</v>
      </c>
      <c r="J833">
        <f t="shared" si="52"/>
        <v>0</v>
      </c>
      <c r="K833">
        <f ca="1">SUM($J$2:J833)/I833</f>
        <v>115.39548467648997</v>
      </c>
      <c r="M833">
        <v>831</v>
      </c>
      <c r="N833">
        <f t="shared" si="53"/>
        <v>0</v>
      </c>
      <c r="O833">
        <f ca="1">SUM($N$2:N833)/M833</f>
        <v>117.44630866131472</v>
      </c>
    </row>
    <row r="834" spans="1:15" x14ac:dyDescent="0.2">
      <c r="A834">
        <v>832</v>
      </c>
      <c r="B834" s="11">
        <f t="shared" si="50"/>
        <v>0</v>
      </c>
      <c r="C834">
        <f ca="1">SUM($B$2:B834)/A834</f>
        <v>115.25678818048458</v>
      </c>
      <c r="E834">
        <v>832</v>
      </c>
      <c r="F834" s="11">
        <f t="shared" si="51"/>
        <v>0</v>
      </c>
      <c r="G834">
        <f ca="1">SUM($F$2:F834)/E834</f>
        <v>117.30514723263526</v>
      </c>
      <c r="I834">
        <v>832</v>
      </c>
      <c r="J834">
        <f t="shared" si="52"/>
        <v>0</v>
      </c>
      <c r="K834">
        <f ca="1">SUM($J$2:J834)/I834</f>
        <v>115.25678818048458</v>
      </c>
      <c r="M834">
        <v>832</v>
      </c>
      <c r="N834">
        <f t="shared" si="53"/>
        <v>0</v>
      </c>
      <c r="O834">
        <f ca="1">SUM($N$2:N834)/M834</f>
        <v>117.30514723263526</v>
      </c>
    </row>
    <row r="835" spans="1:15" x14ac:dyDescent="0.2">
      <c r="A835">
        <v>833</v>
      </c>
      <c r="B835" s="11">
        <f t="shared" ref="B835:B898" si="54">IF(ARCap-IF((A835-IF(A835/180&gt;1,ROUNDDOWN(A835/180,0)*180,0))/30&lt;=1,IF(200*15*BaseSpeed/60*(YellowConnects+WhiteMHConnects+WhiteOHConnects+HoJConnects+WindfuryConnects+SSConnects+IronfoeConnects)*(A835-180*ROUNDDOWN(A835/180,0))&gt;1200,1200,200*15*BaseSpeed/60*(YellowConnects+WhiteMHConnects+WhiteOHConnects+HoJConnects+WindfuryConnects+SSConnects+IronfoeConnects)*(A835-180*ROUNDDOWN(A835/180,0))),0)&lt;0,ARCap,IF((A835-IF(A835/180&gt;1,ROUNDDOWN(A834/180,0)*180,0))/30&lt;=1,IF(200*15*BaseSpeed/60*(YellowConnects+WhiteMHConnects+WhiteOHConnects+HoJConnects+WindfuryConnects+SSConnects+IronfoeConnects)*(A835-180*ROUNDDOWN(A835/180,0))&gt;1200,1200,200*15*BaseSpeed/60*(YellowConnects+WhiteMHConnects+WhiteOHConnects+HoJConnects+WindfuryConnects+SSConnects+IronfoeConnects)*(A835-180*ROUNDDOWN(A835/180,0))),0))</f>
        <v>0</v>
      </c>
      <c r="C835">
        <f ca="1">SUM($B$2:B835)/A835</f>
        <v>115.11842468927151</v>
      </c>
      <c r="E835">
        <v>833</v>
      </c>
      <c r="F835" s="11">
        <f t="shared" ref="F835:F898" si="55">IF(ARCap-IF((A835-IF(A835/180&gt;1,ROUNDDOWN(A835/180,0)*180,0))/30&lt;=1,IF(200*15*BaseSpeed/60*(YellowConnects20+WhiteMHConnects20+WhiteOHConnects20+HoJConnects20+WindfuryConnects20+SSConnects20+IronfoeConnects20)*(A835-180*ROUNDDOWN(A835/180,0))&gt;1200,1200,200*15*BaseSpeed/60*(YellowConnects20+WhiteMHConnects20+WhiteOHConnects20+HoJConnects20+WindfuryConnects20+SSConnects20+IronfoeConnects20)*(A835-180*ROUNDDOWN(A835/180,0))),0)&lt;0,ARCap,IF((A835-IF(A835/180&gt;1,ROUNDDOWN(A835/180,0)*180,0))/30&lt;=1,IF(200*15*BaseSpeed/60*(YellowConnects20+WhiteMHConnects20+WhiteOHConnects20+HoJConnects20+WindfuryConnects20+SSConnects20+IronfoeConnects20)*(A835-180*ROUNDDOWN(A835/180,0))&gt;1200,1200,200*15*BaseSpeed/60*(YellowConnects20+WhiteMHConnects20+WhiteOHConnects20+HoJConnects20+WindfuryConnects20+SSConnects20+IronfoeConnects20)*(A835-180*ROUNDDOWN(A835/180,0))),0))</f>
        <v>0</v>
      </c>
      <c r="G835">
        <f ca="1">SUM($F$2:F835)/E835</f>
        <v>117.16432472695382</v>
      </c>
      <c r="I835">
        <v>833</v>
      </c>
      <c r="J835">
        <f t="shared" ref="J835:J898" si="56">IF(ARCap-(B835+BRE)&lt;0,ARCap,B835+BRE)</f>
        <v>0</v>
      </c>
      <c r="K835">
        <f ca="1">SUM($J$2:J835)/I835</f>
        <v>115.11842468927151</v>
      </c>
      <c r="M835">
        <v>833</v>
      </c>
      <c r="N835">
        <f t="shared" ref="N835:N898" si="57">IF(ARCap-(F835+BREArmorReduction20)&lt;0,ARCap,F835+BREArmorReduction20)</f>
        <v>0</v>
      </c>
      <c r="O835">
        <f ca="1">SUM($N$2:N835)/M835</f>
        <v>117.16432472695382</v>
      </c>
    </row>
    <row r="836" spans="1:15" x14ac:dyDescent="0.2">
      <c r="A836">
        <v>834</v>
      </c>
      <c r="B836" s="11">
        <f t="shared" si="54"/>
        <v>0</v>
      </c>
      <c r="C836">
        <f ca="1">SUM($B$2:B836)/A836</f>
        <v>114.98039300499181</v>
      </c>
      <c r="E836">
        <v>834</v>
      </c>
      <c r="F836" s="11">
        <f t="shared" si="55"/>
        <v>0</v>
      </c>
      <c r="G836">
        <f ca="1">SUM($F$2:F836)/E836</f>
        <v>117.02383992512294</v>
      </c>
      <c r="I836">
        <v>834</v>
      </c>
      <c r="J836">
        <f t="shared" si="56"/>
        <v>0</v>
      </c>
      <c r="K836">
        <f ca="1">SUM($J$2:J836)/I836</f>
        <v>114.98039300499181</v>
      </c>
      <c r="M836">
        <v>834</v>
      </c>
      <c r="N836">
        <f t="shared" si="57"/>
        <v>0</v>
      </c>
      <c r="O836">
        <f ca="1">SUM($N$2:N836)/M836</f>
        <v>117.02383992512294</v>
      </c>
    </row>
    <row r="837" spans="1:15" x14ac:dyDescent="0.2">
      <c r="A837">
        <v>835</v>
      </c>
      <c r="B837" s="11">
        <f t="shared" si="54"/>
        <v>0</v>
      </c>
      <c r="C837">
        <f ca="1">SUM($B$2:B837)/A837</f>
        <v>114.84269193552475</v>
      </c>
      <c r="E837">
        <v>835</v>
      </c>
      <c r="F837" s="11">
        <f t="shared" si="55"/>
        <v>0</v>
      </c>
      <c r="G837">
        <f ca="1">SUM($F$2:F837)/E837</f>
        <v>116.88369161383537</v>
      </c>
      <c r="I837">
        <v>835</v>
      </c>
      <c r="J837">
        <f t="shared" si="56"/>
        <v>0</v>
      </c>
      <c r="K837">
        <f ca="1">SUM($J$2:J837)/I837</f>
        <v>114.84269193552475</v>
      </c>
      <c r="M837">
        <v>835</v>
      </c>
      <c r="N837">
        <f t="shared" si="57"/>
        <v>0</v>
      </c>
      <c r="O837">
        <f ca="1">SUM($N$2:N837)/M837</f>
        <v>116.88369161383537</v>
      </c>
    </row>
    <row r="838" spans="1:15" x14ac:dyDescent="0.2">
      <c r="A838">
        <v>836</v>
      </c>
      <c r="B838" s="11">
        <f t="shared" si="54"/>
        <v>0</v>
      </c>
      <c r="C838">
        <f ca="1">SUM($B$2:B838)/A838</f>
        <v>114.70532029445354</v>
      </c>
      <c r="E838">
        <v>836</v>
      </c>
      <c r="F838" s="11">
        <f t="shared" si="55"/>
        <v>0</v>
      </c>
      <c r="G838">
        <f ca="1">SUM($F$2:F838)/E838</f>
        <v>116.74387858558916</v>
      </c>
      <c r="I838">
        <v>836</v>
      </c>
      <c r="J838">
        <f t="shared" si="56"/>
        <v>0</v>
      </c>
      <c r="K838">
        <f ca="1">SUM($J$2:J838)/I838</f>
        <v>114.70532029445354</v>
      </c>
      <c r="M838">
        <v>836</v>
      </c>
      <c r="N838">
        <f t="shared" si="57"/>
        <v>0</v>
      </c>
      <c r="O838">
        <f ca="1">SUM($N$2:N838)/M838</f>
        <v>116.74387858558916</v>
      </c>
    </row>
    <row r="839" spans="1:15" x14ac:dyDescent="0.2">
      <c r="A839">
        <v>837</v>
      </c>
      <c r="B839" s="11">
        <f t="shared" si="54"/>
        <v>0</v>
      </c>
      <c r="C839">
        <f ca="1">SUM($B$2:B839)/A839</f>
        <v>114.56827690103125</v>
      </c>
      <c r="E839">
        <v>837</v>
      </c>
      <c r="F839" s="11">
        <f t="shared" si="55"/>
        <v>0</v>
      </c>
      <c r="G839">
        <f ca="1">SUM($F$2:F839)/E839</f>
        <v>116.60439963865296</v>
      </c>
      <c r="I839">
        <v>837</v>
      </c>
      <c r="J839">
        <f t="shared" si="56"/>
        <v>0</v>
      </c>
      <c r="K839">
        <f ca="1">SUM($J$2:J839)/I839</f>
        <v>114.56827690103125</v>
      </c>
      <c r="M839">
        <v>837</v>
      </c>
      <c r="N839">
        <f t="shared" si="57"/>
        <v>0</v>
      </c>
      <c r="O839">
        <f ca="1">SUM($N$2:N839)/M839</f>
        <v>116.60439963865296</v>
      </c>
    </row>
    <row r="840" spans="1:15" x14ac:dyDescent="0.2">
      <c r="A840">
        <v>838</v>
      </c>
      <c r="B840" s="11">
        <f t="shared" si="54"/>
        <v>0</v>
      </c>
      <c r="C840">
        <f ca="1">SUM($B$2:B840)/A840</f>
        <v>114.43156058014698</v>
      </c>
      <c r="E840">
        <v>838</v>
      </c>
      <c r="F840" s="11">
        <f t="shared" si="55"/>
        <v>0</v>
      </c>
      <c r="G840">
        <f ca="1">SUM($F$2:F840)/E840</f>
        <v>116.46525357703166</v>
      </c>
      <c r="I840">
        <v>838</v>
      </c>
      <c r="J840">
        <f t="shared" si="56"/>
        <v>0</v>
      </c>
      <c r="K840">
        <f ca="1">SUM($J$2:J840)/I840</f>
        <v>114.43156058014698</v>
      </c>
      <c r="M840">
        <v>838</v>
      </c>
      <c r="N840">
        <f t="shared" si="57"/>
        <v>0</v>
      </c>
      <c r="O840">
        <f ca="1">SUM($N$2:N840)/M840</f>
        <v>116.46525357703166</v>
      </c>
    </row>
    <row r="841" spans="1:15" x14ac:dyDescent="0.2">
      <c r="A841">
        <v>839</v>
      </c>
      <c r="B841" s="11">
        <f t="shared" si="54"/>
        <v>0</v>
      </c>
      <c r="C841">
        <f ca="1">SUM($B$2:B841)/A841</f>
        <v>114.29517016229221</v>
      </c>
      <c r="E841">
        <v>839</v>
      </c>
      <c r="F841" s="11">
        <f t="shared" si="55"/>
        <v>0</v>
      </c>
      <c r="G841">
        <f ca="1">SUM($F$2:F841)/E841</f>
        <v>116.3264392104321</v>
      </c>
      <c r="I841">
        <v>839</v>
      </c>
      <c r="J841">
        <f t="shared" si="56"/>
        <v>0</v>
      </c>
      <c r="K841">
        <f ca="1">SUM($J$2:J841)/I841</f>
        <v>114.29517016229221</v>
      </c>
      <c r="M841">
        <v>839</v>
      </c>
      <c r="N841">
        <f t="shared" si="57"/>
        <v>0</v>
      </c>
      <c r="O841">
        <f ca="1">SUM($N$2:N841)/M841</f>
        <v>116.3264392104321</v>
      </c>
    </row>
    <row r="842" spans="1:15" x14ac:dyDescent="0.2">
      <c r="A842">
        <v>840</v>
      </c>
      <c r="B842" s="11">
        <f t="shared" si="54"/>
        <v>0</v>
      </c>
      <c r="C842">
        <f ca="1">SUM($B$2:B842)/A842</f>
        <v>114.15910448352757</v>
      </c>
      <c r="E842">
        <v>840</v>
      </c>
      <c r="F842" s="11">
        <f t="shared" si="55"/>
        <v>0</v>
      </c>
      <c r="G842">
        <f ca="1">SUM($F$2:F842)/E842</f>
        <v>116.1879553542292</v>
      </c>
      <c r="I842">
        <v>840</v>
      </c>
      <c r="J842">
        <f t="shared" si="56"/>
        <v>0</v>
      </c>
      <c r="K842">
        <f ca="1">SUM($J$2:J842)/I842</f>
        <v>114.15910448352757</v>
      </c>
      <c r="M842">
        <v>840</v>
      </c>
      <c r="N842">
        <f t="shared" si="57"/>
        <v>0</v>
      </c>
      <c r="O842">
        <f ca="1">SUM($N$2:N842)/M842</f>
        <v>116.1879553542292</v>
      </c>
    </row>
    <row r="843" spans="1:15" x14ac:dyDescent="0.2">
      <c r="A843">
        <v>841</v>
      </c>
      <c r="B843" s="11">
        <f t="shared" si="54"/>
        <v>0</v>
      </c>
      <c r="C843">
        <f ca="1">SUM($B$2:B843)/A843</f>
        <v>114.02336238544966</v>
      </c>
      <c r="E843">
        <v>841</v>
      </c>
      <c r="F843" s="11">
        <f t="shared" si="55"/>
        <v>0</v>
      </c>
      <c r="G843">
        <f ca="1">SUM($F$2:F843)/E843</f>
        <v>116.04980082943227</v>
      </c>
      <c r="I843">
        <v>841</v>
      </c>
      <c r="J843">
        <f t="shared" si="56"/>
        <v>0</v>
      </c>
      <c r="K843">
        <f ca="1">SUM($J$2:J843)/I843</f>
        <v>114.02336238544966</v>
      </c>
      <c r="M843">
        <v>841</v>
      </c>
      <c r="N843">
        <f t="shared" si="57"/>
        <v>0</v>
      </c>
      <c r="O843">
        <f ca="1">SUM($N$2:N843)/M843</f>
        <v>116.04980082943227</v>
      </c>
    </row>
    <row r="844" spans="1:15" x14ac:dyDescent="0.2">
      <c r="A844">
        <v>842</v>
      </c>
      <c r="B844" s="11">
        <f t="shared" si="54"/>
        <v>0</v>
      </c>
      <c r="C844">
        <f ca="1">SUM($B$2:B844)/A844</f>
        <v>113.88794271515815</v>
      </c>
      <c r="E844">
        <v>842</v>
      </c>
      <c r="F844" s="11">
        <f t="shared" si="55"/>
        <v>0</v>
      </c>
      <c r="G844">
        <f ca="1">SUM($F$2:F844)/E844</f>
        <v>115.91197446265147</v>
      </c>
      <c r="I844">
        <v>842</v>
      </c>
      <c r="J844">
        <f t="shared" si="56"/>
        <v>0</v>
      </c>
      <c r="K844">
        <f ca="1">SUM($J$2:J844)/I844</f>
        <v>113.88794271515815</v>
      </c>
      <c r="M844">
        <v>842</v>
      </c>
      <c r="N844">
        <f t="shared" si="57"/>
        <v>0</v>
      </c>
      <c r="O844">
        <f ca="1">SUM($N$2:N844)/M844</f>
        <v>115.91197446265147</v>
      </c>
    </row>
    <row r="845" spans="1:15" x14ac:dyDescent="0.2">
      <c r="A845">
        <v>843</v>
      </c>
      <c r="B845" s="11">
        <f t="shared" si="54"/>
        <v>0</v>
      </c>
      <c r="C845">
        <f ca="1">SUM($B$2:B845)/A845</f>
        <v>113.75284432522321</v>
      </c>
      <c r="E845">
        <v>843</v>
      </c>
      <c r="F845" s="11">
        <f t="shared" si="55"/>
        <v>0</v>
      </c>
      <c r="G845">
        <f ca="1">SUM($F$2:F845)/E845</f>
        <v>115.7744750860647</v>
      </c>
      <c r="I845">
        <v>843</v>
      </c>
      <c r="J845">
        <f t="shared" si="56"/>
        <v>0</v>
      </c>
      <c r="K845">
        <f ca="1">SUM($J$2:J845)/I845</f>
        <v>113.75284432522321</v>
      </c>
      <c r="M845">
        <v>843</v>
      </c>
      <c r="N845">
        <f t="shared" si="57"/>
        <v>0</v>
      </c>
      <c r="O845">
        <f ca="1">SUM($N$2:N845)/M845</f>
        <v>115.7744750860647</v>
      </c>
    </row>
    <row r="846" spans="1:15" x14ac:dyDescent="0.2">
      <c r="A846">
        <v>844</v>
      </c>
      <c r="B846" s="11">
        <f t="shared" si="54"/>
        <v>0</v>
      </c>
      <c r="C846">
        <f ca="1">SUM($B$2:B846)/A846</f>
        <v>113.61806607365304</v>
      </c>
      <c r="E846">
        <v>844</v>
      </c>
      <c r="F846" s="11">
        <f t="shared" si="55"/>
        <v>0</v>
      </c>
      <c r="G846">
        <f ca="1">SUM($F$2:F846)/E846</f>
        <v>115.63730153738452</v>
      </c>
      <c r="I846">
        <v>844</v>
      </c>
      <c r="J846">
        <f t="shared" si="56"/>
        <v>0</v>
      </c>
      <c r="K846">
        <f ca="1">SUM($J$2:J846)/I846</f>
        <v>113.61806607365304</v>
      </c>
      <c r="M846">
        <v>844</v>
      </c>
      <c r="N846">
        <f t="shared" si="57"/>
        <v>0</v>
      </c>
      <c r="O846">
        <f ca="1">SUM($N$2:N846)/M846</f>
        <v>115.63730153738452</v>
      </c>
    </row>
    <row r="847" spans="1:15" x14ac:dyDescent="0.2">
      <c r="A847">
        <v>845</v>
      </c>
      <c r="B847" s="11">
        <f t="shared" si="54"/>
        <v>0</v>
      </c>
      <c r="C847">
        <f ca="1">SUM($B$2:B847)/A847</f>
        <v>113.48360682386173</v>
      </c>
      <c r="E847">
        <v>845</v>
      </c>
      <c r="F847" s="11">
        <f t="shared" si="55"/>
        <v>0</v>
      </c>
      <c r="G847">
        <f ca="1">SUM($F$2:F847)/E847</f>
        <v>115.50045265982548</v>
      </c>
      <c r="I847">
        <v>845</v>
      </c>
      <c r="J847">
        <f t="shared" si="56"/>
        <v>0</v>
      </c>
      <c r="K847">
        <f ca="1">SUM($J$2:J847)/I847</f>
        <v>113.48360682386173</v>
      </c>
      <c r="M847">
        <v>845</v>
      </c>
      <c r="N847">
        <f t="shared" si="57"/>
        <v>0</v>
      </c>
      <c r="O847">
        <f ca="1">SUM($N$2:N847)/M847</f>
        <v>115.50045265982548</v>
      </c>
    </row>
    <row r="848" spans="1:15" x14ac:dyDescent="0.2">
      <c r="A848">
        <v>846</v>
      </c>
      <c r="B848" s="11">
        <f t="shared" si="54"/>
        <v>0</v>
      </c>
      <c r="C848">
        <f ca="1">SUM($B$2:B848)/A848</f>
        <v>113.34946544463732</v>
      </c>
      <c r="E848">
        <v>846</v>
      </c>
      <c r="F848" s="11">
        <f t="shared" si="55"/>
        <v>0</v>
      </c>
      <c r="G848">
        <f ca="1">SUM($F$2:F848)/E848</f>
        <v>115.36392730207156</v>
      </c>
      <c r="I848">
        <v>846</v>
      </c>
      <c r="J848">
        <f t="shared" si="56"/>
        <v>0</v>
      </c>
      <c r="K848">
        <f ca="1">SUM($J$2:J848)/I848</f>
        <v>113.34946544463732</v>
      </c>
      <c r="M848">
        <v>846</v>
      </c>
      <c r="N848">
        <f t="shared" si="57"/>
        <v>0</v>
      </c>
      <c r="O848">
        <f ca="1">SUM($N$2:N848)/M848</f>
        <v>115.36392730207156</v>
      </c>
    </row>
    <row r="849" spans="1:15" x14ac:dyDescent="0.2">
      <c r="A849">
        <v>847</v>
      </c>
      <c r="B849" s="11">
        <f t="shared" si="54"/>
        <v>0</v>
      </c>
      <c r="C849">
        <f ca="1">SUM($B$2:B849)/A849</f>
        <v>113.21564081010999</v>
      </c>
      <c r="E849">
        <v>847</v>
      </c>
      <c r="F849" s="11">
        <f t="shared" si="55"/>
        <v>0</v>
      </c>
      <c r="G849">
        <f ca="1">SUM($F$2:F849)/E849</f>
        <v>115.22772431824384</v>
      </c>
      <c r="I849">
        <v>847</v>
      </c>
      <c r="J849">
        <f t="shared" si="56"/>
        <v>0</v>
      </c>
      <c r="K849">
        <f ca="1">SUM($J$2:J849)/I849</f>
        <v>113.21564081010999</v>
      </c>
      <c r="M849">
        <v>847</v>
      </c>
      <c r="N849">
        <f t="shared" si="57"/>
        <v>0</v>
      </c>
      <c r="O849">
        <f ca="1">SUM($N$2:N849)/M849</f>
        <v>115.22772431824384</v>
      </c>
    </row>
    <row r="850" spans="1:15" x14ac:dyDescent="0.2">
      <c r="A850">
        <v>848</v>
      </c>
      <c r="B850" s="11">
        <f t="shared" si="54"/>
        <v>0</v>
      </c>
      <c r="C850">
        <f ca="1">SUM($B$2:B850)/A850</f>
        <v>113.08213179972071</v>
      </c>
      <c r="E850">
        <v>848</v>
      </c>
      <c r="F850" s="11">
        <f t="shared" si="55"/>
        <v>0</v>
      </c>
      <c r="G850">
        <f ca="1">SUM($F$2:F850)/E850</f>
        <v>115.09184256786855</v>
      </c>
      <c r="I850">
        <v>848</v>
      </c>
      <c r="J850">
        <f t="shared" si="56"/>
        <v>0</v>
      </c>
      <c r="K850">
        <f ca="1">SUM($J$2:J850)/I850</f>
        <v>113.08213179972071</v>
      </c>
      <c r="M850">
        <v>848</v>
      </c>
      <c r="N850">
        <f t="shared" si="57"/>
        <v>0</v>
      </c>
      <c r="O850">
        <f ca="1">SUM($N$2:N850)/M850</f>
        <v>115.09184256786855</v>
      </c>
    </row>
    <row r="851" spans="1:15" x14ac:dyDescent="0.2">
      <c r="A851">
        <v>849</v>
      </c>
      <c r="B851" s="11">
        <f t="shared" si="54"/>
        <v>0</v>
      </c>
      <c r="C851">
        <f ca="1">SUM($B$2:B851)/A851</f>
        <v>112.94893729818983</v>
      </c>
      <c r="E851">
        <v>849</v>
      </c>
      <c r="F851" s="11">
        <f t="shared" si="55"/>
        <v>0</v>
      </c>
      <c r="G851">
        <f ca="1">SUM($F$2:F851)/E851</f>
        <v>114.95628091584516</v>
      </c>
      <c r="I851">
        <v>849</v>
      </c>
      <c r="J851">
        <f t="shared" si="56"/>
        <v>0</v>
      </c>
      <c r="K851">
        <f ca="1">SUM($J$2:J851)/I851</f>
        <v>112.94893729818983</v>
      </c>
      <c r="M851">
        <v>849</v>
      </c>
      <c r="N851">
        <f t="shared" si="57"/>
        <v>0</v>
      </c>
      <c r="O851">
        <f ca="1">SUM($N$2:N851)/M851</f>
        <v>114.95628091584516</v>
      </c>
    </row>
    <row r="852" spans="1:15" x14ac:dyDescent="0.2">
      <c r="A852">
        <v>850</v>
      </c>
      <c r="B852" s="11">
        <f t="shared" si="54"/>
        <v>0</v>
      </c>
      <c r="C852">
        <f ca="1">SUM($B$2:B852)/A852</f>
        <v>112.81605619548607</v>
      </c>
      <c r="E852">
        <v>850</v>
      </c>
      <c r="F852" s="11">
        <f t="shared" si="55"/>
        <v>0</v>
      </c>
      <c r="G852">
        <f ca="1">SUM($F$2:F852)/E852</f>
        <v>114.82103823241475</v>
      </c>
      <c r="I852">
        <v>850</v>
      </c>
      <c r="J852">
        <f t="shared" si="56"/>
        <v>0</v>
      </c>
      <c r="K852">
        <f ca="1">SUM($J$2:J852)/I852</f>
        <v>112.81605619548607</v>
      </c>
      <c r="M852">
        <v>850</v>
      </c>
      <c r="N852">
        <f t="shared" si="57"/>
        <v>0</v>
      </c>
      <c r="O852">
        <f ca="1">SUM($N$2:N852)/M852</f>
        <v>114.82103823241475</v>
      </c>
    </row>
    <row r="853" spans="1:15" x14ac:dyDescent="0.2">
      <c r="A853">
        <v>851</v>
      </c>
      <c r="B853" s="11">
        <f t="shared" si="54"/>
        <v>0</v>
      </c>
      <c r="C853">
        <f ca="1">SUM($B$2:B853)/A853</f>
        <v>112.68348738679573</v>
      </c>
      <c r="E853">
        <v>851</v>
      </c>
      <c r="F853" s="11">
        <f t="shared" si="55"/>
        <v>0</v>
      </c>
      <c r="G853">
        <f ca="1">SUM($F$2:F853)/E853</f>
        <v>114.68611339312871</v>
      </c>
      <c r="I853">
        <v>851</v>
      </c>
      <c r="J853">
        <f t="shared" si="56"/>
        <v>0</v>
      </c>
      <c r="K853">
        <f ca="1">SUM($J$2:J853)/I853</f>
        <v>112.68348738679573</v>
      </c>
      <c r="M853">
        <v>851</v>
      </c>
      <c r="N853">
        <f t="shared" si="57"/>
        <v>0</v>
      </c>
      <c r="O853">
        <f ca="1">SUM($N$2:N853)/M853</f>
        <v>114.68611339312871</v>
      </c>
    </row>
    <row r="854" spans="1:15" x14ac:dyDescent="0.2">
      <c r="A854">
        <v>852</v>
      </c>
      <c r="B854" s="11">
        <f t="shared" si="54"/>
        <v>0</v>
      </c>
      <c r="C854">
        <f ca="1">SUM($B$2:B854)/A854</f>
        <v>112.55122977249198</v>
      </c>
      <c r="E854">
        <v>852</v>
      </c>
      <c r="F854" s="11">
        <f t="shared" si="55"/>
        <v>0</v>
      </c>
      <c r="G854">
        <f ca="1">SUM($F$2:F854)/E854</f>
        <v>114.55150527881753</v>
      </c>
      <c r="I854">
        <v>852</v>
      </c>
      <c r="J854">
        <f t="shared" si="56"/>
        <v>0</v>
      </c>
      <c r="K854">
        <f ca="1">SUM($J$2:J854)/I854</f>
        <v>112.55122977249198</v>
      </c>
      <c r="M854">
        <v>852</v>
      </c>
      <c r="N854">
        <f t="shared" si="57"/>
        <v>0</v>
      </c>
      <c r="O854">
        <f ca="1">SUM($N$2:N854)/M854</f>
        <v>114.55150527881753</v>
      </c>
    </row>
    <row r="855" spans="1:15" x14ac:dyDescent="0.2">
      <c r="A855">
        <v>853</v>
      </c>
      <c r="B855" s="11">
        <f t="shared" si="54"/>
        <v>0</v>
      </c>
      <c r="C855">
        <f ca="1">SUM($B$2:B855)/A855</f>
        <v>112.41928225810453</v>
      </c>
      <c r="E855">
        <v>853</v>
      </c>
      <c r="F855" s="11">
        <f t="shared" si="55"/>
        <v>0</v>
      </c>
      <c r="G855">
        <f ca="1">SUM($F$2:F855)/E855</f>
        <v>114.41721277555983</v>
      </c>
      <c r="I855">
        <v>853</v>
      </c>
      <c r="J855">
        <f t="shared" si="56"/>
        <v>0</v>
      </c>
      <c r="K855">
        <f ca="1">SUM($J$2:J855)/I855</f>
        <v>112.41928225810453</v>
      </c>
      <c r="M855">
        <v>853</v>
      </c>
      <c r="N855">
        <f t="shared" si="57"/>
        <v>0</v>
      </c>
      <c r="O855">
        <f ca="1">SUM($N$2:N855)/M855</f>
        <v>114.41721277555983</v>
      </c>
    </row>
    <row r="856" spans="1:15" x14ac:dyDescent="0.2">
      <c r="A856">
        <v>854</v>
      </c>
      <c r="B856" s="11">
        <f t="shared" si="54"/>
        <v>0</v>
      </c>
      <c r="C856">
        <f ca="1">SUM($B$2:B856)/A856</f>
        <v>112.28764375428942</v>
      </c>
      <c r="E856">
        <v>854</v>
      </c>
      <c r="F856" s="11">
        <f t="shared" si="55"/>
        <v>0</v>
      </c>
      <c r="G856">
        <f ca="1">SUM($F$2:F856)/E856</f>
        <v>114.28323477465167</v>
      </c>
      <c r="I856">
        <v>854</v>
      </c>
      <c r="J856">
        <f t="shared" si="56"/>
        <v>0</v>
      </c>
      <c r="K856">
        <f ca="1">SUM($J$2:J856)/I856</f>
        <v>112.28764375428942</v>
      </c>
      <c r="M856">
        <v>854</v>
      </c>
      <c r="N856">
        <f t="shared" si="57"/>
        <v>0</v>
      </c>
      <c r="O856">
        <f ca="1">SUM($N$2:N856)/M856</f>
        <v>114.28323477465167</v>
      </c>
    </row>
    <row r="857" spans="1:15" x14ac:dyDescent="0.2">
      <c r="A857">
        <v>855</v>
      </c>
      <c r="B857" s="11">
        <f t="shared" si="54"/>
        <v>0</v>
      </c>
      <c r="C857">
        <f ca="1">SUM($B$2:B857)/A857</f>
        <v>112.15631317679902</v>
      </c>
      <c r="E857">
        <v>855</v>
      </c>
      <c r="F857" s="11">
        <f t="shared" si="55"/>
        <v>0</v>
      </c>
      <c r="G857">
        <f ca="1">SUM($F$2:F857)/E857</f>
        <v>114.14957017257606</v>
      </c>
      <c r="I857">
        <v>855</v>
      </c>
      <c r="J857">
        <f t="shared" si="56"/>
        <v>0</v>
      </c>
      <c r="K857">
        <f ca="1">SUM($J$2:J857)/I857</f>
        <v>112.15631317679902</v>
      </c>
      <c r="M857">
        <v>855</v>
      </c>
      <c r="N857">
        <f t="shared" si="57"/>
        <v>0</v>
      </c>
      <c r="O857">
        <f ca="1">SUM($N$2:N857)/M857</f>
        <v>114.14957017257606</v>
      </c>
    </row>
    <row r="858" spans="1:15" x14ac:dyDescent="0.2">
      <c r="A858">
        <v>856</v>
      </c>
      <c r="B858" s="11">
        <f t="shared" si="54"/>
        <v>0</v>
      </c>
      <c r="C858">
        <f ca="1">SUM($B$2:B858)/A858</f>
        <v>112.02528944645229</v>
      </c>
      <c r="E858">
        <v>856</v>
      </c>
      <c r="F858" s="11">
        <f t="shared" si="55"/>
        <v>0</v>
      </c>
      <c r="G858">
        <f ca="1">SUM($F$2:F858)/E858</f>
        <v>114.01621787097258</v>
      </c>
      <c r="I858">
        <v>856</v>
      </c>
      <c r="J858">
        <f t="shared" si="56"/>
        <v>0</v>
      </c>
      <c r="K858">
        <f ca="1">SUM($J$2:J858)/I858</f>
        <v>112.02528944645229</v>
      </c>
      <c r="M858">
        <v>856</v>
      </c>
      <c r="N858">
        <f t="shared" si="57"/>
        <v>0</v>
      </c>
      <c r="O858">
        <f ca="1">SUM($N$2:N858)/M858</f>
        <v>114.01621787097258</v>
      </c>
    </row>
    <row r="859" spans="1:15" x14ac:dyDescent="0.2">
      <c r="A859">
        <v>857</v>
      </c>
      <c r="B859" s="11">
        <f t="shared" si="54"/>
        <v>0</v>
      </c>
      <c r="C859">
        <f ca="1">SUM($B$2:B859)/A859</f>
        <v>111.8945714891052</v>
      </c>
      <c r="E859">
        <v>857</v>
      </c>
      <c r="F859" s="11">
        <f t="shared" si="55"/>
        <v>0</v>
      </c>
      <c r="G859">
        <f ca="1">SUM($F$2:F859)/E859</f>
        <v>113.88317677660739</v>
      </c>
      <c r="I859">
        <v>857</v>
      </c>
      <c r="J859">
        <f t="shared" si="56"/>
        <v>0</v>
      </c>
      <c r="K859">
        <f ca="1">SUM($J$2:J859)/I859</f>
        <v>111.8945714891052</v>
      </c>
      <c r="M859">
        <v>857</v>
      </c>
      <c r="N859">
        <f t="shared" si="57"/>
        <v>0</v>
      </c>
      <c r="O859">
        <f ca="1">SUM($N$2:N859)/M859</f>
        <v>113.88317677660739</v>
      </c>
    </row>
    <row r="860" spans="1:15" x14ac:dyDescent="0.2">
      <c r="A860">
        <v>858</v>
      </c>
      <c r="B860" s="11">
        <f t="shared" si="54"/>
        <v>0</v>
      </c>
      <c r="C860">
        <f ca="1">SUM($B$2:B860)/A860</f>
        <v>111.76415823562141</v>
      </c>
      <c r="E860">
        <v>858</v>
      </c>
      <c r="F860" s="11">
        <f t="shared" si="55"/>
        <v>0</v>
      </c>
      <c r="G860">
        <f ca="1">SUM($F$2:F860)/E860</f>
        <v>113.75044580134328</v>
      </c>
      <c r="I860">
        <v>858</v>
      </c>
      <c r="J860">
        <f t="shared" si="56"/>
        <v>0</v>
      </c>
      <c r="K860">
        <f ca="1">SUM($J$2:J860)/I860</f>
        <v>111.76415823562141</v>
      </c>
      <c r="M860">
        <v>858</v>
      </c>
      <c r="N860">
        <f t="shared" si="57"/>
        <v>0</v>
      </c>
      <c r="O860">
        <f ca="1">SUM($N$2:N860)/M860</f>
        <v>113.75044580134328</v>
      </c>
    </row>
    <row r="861" spans="1:15" x14ac:dyDescent="0.2">
      <c r="A861">
        <v>859</v>
      </c>
      <c r="B861" s="11">
        <f t="shared" si="54"/>
        <v>0</v>
      </c>
      <c r="C861">
        <f ca="1">SUM($B$2:B861)/A861</f>
        <v>111.63404862184304</v>
      </c>
      <c r="E861">
        <v>859</v>
      </c>
      <c r="F861" s="11">
        <f t="shared" si="55"/>
        <v>0</v>
      </c>
      <c r="G861">
        <f ca="1">SUM($F$2:F861)/E861</f>
        <v>113.61802386211005</v>
      </c>
      <c r="I861">
        <v>859</v>
      </c>
      <c r="J861">
        <f t="shared" si="56"/>
        <v>0</v>
      </c>
      <c r="K861">
        <f ca="1">SUM($J$2:J861)/I861</f>
        <v>111.63404862184304</v>
      </c>
      <c r="M861">
        <v>859</v>
      </c>
      <c r="N861">
        <f t="shared" si="57"/>
        <v>0</v>
      </c>
      <c r="O861">
        <f ca="1">SUM($N$2:N861)/M861</f>
        <v>113.61802386211005</v>
      </c>
    </row>
    <row r="862" spans="1:15" x14ac:dyDescent="0.2">
      <c r="A862">
        <v>860</v>
      </c>
      <c r="B862" s="11">
        <f t="shared" si="54"/>
        <v>0</v>
      </c>
      <c r="C862">
        <f ca="1">SUM($B$2:B862)/A862</f>
        <v>111.50424158856183</v>
      </c>
      <c r="E862">
        <v>860</v>
      </c>
      <c r="F862" s="11">
        <f t="shared" si="55"/>
        <v>0</v>
      </c>
      <c r="G862">
        <f ca="1">SUM($F$2:F862)/E862</f>
        <v>113.48590988087504</v>
      </c>
      <c r="I862">
        <v>860</v>
      </c>
      <c r="J862">
        <f t="shared" si="56"/>
        <v>0</v>
      </c>
      <c r="K862">
        <f ca="1">SUM($J$2:J862)/I862</f>
        <v>111.50424158856183</v>
      </c>
      <c r="M862">
        <v>860</v>
      </c>
      <c r="N862">
        <f t="shared" si="57"/>
        <v>0</v>
      </c>
      <c r="O862">
        <f ca="1">SUM($N$2:N862)/M862</f>
        <v>113.48590988087504</v>
      </c>
    </row>
    <row r="863" spans="1:15" x14ac:dyDescent="0.2">
      <c r="A863">
        <v>861</v>
      </c>
      <c r="B863" s="11">
        <f t="shared" si="54"/>
        <v>0</v>
      </c>
      <c r="C863">
        <f ca="1">SUM($B$2:B863)/A863</f>
        <v>111.37473608149033</v>
      </c>
      <c r="E863">
        <v>861</v>
      </c>
      <c r="F863" s="11">
        <f t="shared" si="55"/>
        <v>0</v>
      </c>
      <c r="G863">
        <f ca="1">SUM($F$2:F863)/E863</f>
        <v>113.35410278461386</v>
      </c>
      <c r="I863">
        <v>861</v>
      </c>
      <c r="J863">
        <f t="shared" si="56"/>
        <v>0</v>
      </c>
      <c r="K863">
        <f ca="1">SUM($J$2:J863)/I863</f>
        <v>111.37473608149033</v>
      </c>
      <c r="M863">
        <v>861</v>
      </c>
      <c r="N863">
        <f t="shared" si="57"/>
        <v>0</v>
      </c>
      <c r="O863">
        <f ca="1">SUM($N$2:N863)/M863</f>
        <v>113.35410278461386</v>
      </c>
    </row>
    <row r="864" spans="1:15" x14ac:dyDescent="0.2">
      <c r="A864">
        <v>862</v>
      </c>
      <c r="B864" s="11">
        <f t="shared" si="54"/>
        <v>0</v>
      </c>
      <c r="C864">
        <f ca="1">SUM($B$2:B864)/A864</f>
        <v>111.24553105123337</v>
      </c>
      <c r="E864">
        <v>862</v>
      </c>
      <c r="F864" s="11">
        <f t="shared" si="55"/>
        <v>0</v>
      </c>
      <c r="G864">
        <f ca="1">SUM($F$2:F864)/E864</f>
        <v>113.22260150528136</v>
      </c>
      <c r="I864">
        <v>862</v>
      </c>
      <c r="J864">
        <f t="shared" si="56"/>
        <v>0</v>
      </c>
      <c r="K864">
        <f ca="1">SUM($J$2:J864)/I864</f>
        <v>111.24553105123337</v>
      </c>
      <c r="M864">
        <v>862</v>
      </c>
      <c r="N864">
        <f t="shared" si="57"/>
        <v>0</v>
      </c>
      <c r="O864">
        <f ca="1">SUM($N$2:N864)/M864</f>
        <v>113.22260150528136</v>
      </c>
    </row>
    <row r="865" spans="1:15" x14ac:dyDescent="0.2">
      <c r="A865">
        <v>863</v>
      </c>
      <c r="B865" s="11">
        <f t="shared" si="54"/>
        <v>0</v>
      </c>
      <c r="C865">
        <f ca="1">SUM($B$2:B865)/A865</f>
        <v>111.11662545325976</v>
      </c>
      <c r="E865">
        <v>863</v>
      </c>
      <c r="F865" s="11">
        <f t="shared" si="55"/>
        <v>0</v>
      </c>
      <c r="G865">
        <f ca="1">SUM($F$2:F865)/E865</f>
        <v>113.09140497978278</v>
      </c>
      <c r="I865">
        <v>863</v>
      </c>
      <c r="J865">
        <f t="shared" si="56"/>
        <v>0</v>
      </c>
      <c r="K865">
        <f ca="1">SUM($J$2:J865)/I865</f>
        <v>111.11662545325976</v>
      </c>
      <c r="M865">
        <v>863</v>
      </c>
      <c r="N865">
        <f t="shared" si="57"/>
        <v>0</v>
      </c>
      <c r="O865">
        <f ca="1">SUM($N$2:N865)/M865</f>
        <v>113.09140497978278</v>
      </c>
    </row>
    <row r="866" spans="1:15" x14ac:dyDescent="0.2">
      <c r="A866">
        <v>864</v>
      </c>
      <c r="B866" s="11">
        <f t="shared" si="54"/>
        <v>0</v>
      </c>
      <c r="C866">
        <f ca="1">SUM($B$2:B866)/A866</f>
        <v>110.98801824787404</v>
      </c>
      <c r="E866">
        <v>864</v>
      </c>
      <c r="F866" s="11">
        <f t="shared" si="55"/>
        <v>0</v>
      </c>
      <c r="G866">
        <f ca="1">SUM($F$2:F866)/E866</f>
        <v>112.96051214994506</v>
      </c>
      <c r="I866">
        <v>864</v>
      </c>
      <c r="J866">
        <f t="shared" si="56"/>
        <v>0</v>
      </c>
      <c r="K866">
        <f ca="1">SUM($J$2:J866)/I866</f>
        <v>110.98801824787404</v>
      </c>
      <c r="M866">
        <v>864</v>
      </c>
      <c r="N866">
        <f t="shared" si="57"/>
        <v>0</v>
      </c>
      <c r="O866">
        <f ca="1">SUM($N$2:N866)/M866</f>
        <v>112.96051214994506</v>
      </c>
    </row>
    <row r="867" spans="1:15" x14ac:dyDescent="0.2">
      <c r="A867">
        <v>865</v>
      </c>
      <c r="B867" s="11">
        <f t="shared" si="54"/>
        <v>0</v>
      </c>
      <c r="C867">
        <f ca="1">SUM($B$2:B867)/A867</f>
        <v>110.85970840018864</v>
      </c>
      <c r="E867">
        <v>865</v>
      </c>
      <c r="F867" s="11">
        <f t="shared" si="55"/>
        <v>0</v>
      </c>
      <c r="G867">
        <f ca="1">SUM($F$2:F867)/E867</f>
        <v>112.82992196248848</v>
      </c>
      <c r="I867">
        <v>865</v>
      </c>
      <c r="J867">
        <f t="shared" si="56"/>
        <v>0</v>
      </c>
      <c r="K867">
        <f ca="1">SUM($J$2:J867)/I867</f>
        <v>110.85970840018864</v>
      </c>
      <c r="M867">
        <v>865</v>
      </c>
      <c r="N867">
        <f t="shared" si="57"/>
        <v>0</v>
      </c>
      <c r="O867">
        <f ca="1">SUM($N$2:N867)/M867</f>
        <v>112.82992196248848</v>
      </c>
    </row>
    <row r="868" spans="1:15" x14ac:dyDescent="0.2">
      <c r="A868">
        <v>866</v>
      </c>
      <c r="B868" s="11">
        <f t="shared" si="54"/>
        <v>0</v>
      </c>
      <c r="C868">
        <f ca="1">SUM($B$2:B868)/A868</f>
        <v>110.73169488009603</v>
      </c>
      <c r="E868">
        <v>866</v>
      </c>
      <c r="F868" s="11">
        <f t="shared" si="55"/>
        <v>0</v>
      </c>
      <c r="G868">
        <f ca="1">SUM($F$2:F868)/E868</f>
        <v>112.69963336899831</v>
      </c>
      <c r="I868">
        <v>866</v>
      </c>
      <c r="J868">
        <f t="shared" si="56"/>
        <v>0</v>
      </c>
      <c r="K868">
        <f ca="1">SUM($J$2:J868)/I868</f>
        <v>110.73169488009603</v>
      </c>
      <c r="M868">
        <v>866</v>
      </c>
      <c r="N868">
        <f t="shared" si="57"/>
        <v>0</v>
      </c>
      <c r="O868">
        <f ca="1">SUM($N$2:N868)/M868</f>
        <v>112.69963336899831</v>
      </c>
    </row>
    <row r="869" spans="1:15" x14ac:dyDescent="0.2">
      <c r="A869">
        <v>867</v>
      </c>
      <c r="B869" s="11">
        <f t="shared" si="54"/>
        <v>0</v>
      </c>
      <c r="C869">
        <f ca="1">SUM($B$2:B869)/A869</f>
        <v>110.60397666224125</v>
      </c>
      <c r="E869">
        <v>867</v>
      </c>
      <c r="F869" s="11">
        <f t="shared" si="55"/>
        <v>0</v>
      </c>
      <c r="G869">
        <f ca="1">SUM($F$2:F869)/E869</f>
        <v>112.56964532589681</v>
      </c>
      <c r="I869">
        <v>867</v>
      </c>
      <c r="J869">
        <f t="shared" si="56"/>
        <v>0</v>
      </c>
      <c r="K869">
        <f ca="1">SUM($J$2:J869)/I869</f>
        <v>110.60397666224125</v>
      </c>
      <c r="M869">
        <v>867</v>
      </c>
      <c r="N869">
        <f t="shared" si="57"/>
        <v>0</v>
      </c>
      <c r="O869">
        <f ca="1">SUM($N$2:N869)/M869</f>
        <v>112.56964532589681</v>
      </c>
    </row>
    <row r="870" spans="1:15" x14ac:dyDescent="0.2">
      <c r="A870">
        <v>868</v>
      </c>
      <c r="B870" s="11">
        <f t="shared" si="54"/>
        <v>0</v>
      </c>
      <c r="C870">
        <f ca="1">SUM($B$2:B870)/A870</f>
        <v>110.47655272599442</v>
      </c>
      <c r="E870">
        <v>868</v>
      </c>
      <c r="F870" s="11">
        <f t="shared" si="55"/>
        <v>0</v>
      </c>
      <c r="G870">
        <f ca="1">SUM($F$2:F870)/E870</f>
        <v>112.43995679441537</v>
      </c>
      <c r="I870">
        <v>868</v>
      </c>
      <c r="J870">
        <f t="shared" si="56"/>
        <v>0</v>
      </c>
      <c r="K870">
        <f ca="1">SUM($J$2:J870)/I870</f>
        <v>110.47655272599442</v>
      </c>
      <c r="M870">
        <v>868</v>
      </c>
      <c r="N870">
        <f t="shared" si="57"/>
        <v>0</v>
      </c>
      <c r="O870">
        <f ca="1">SUM($N$2:N870)/M870</f>
        <v>112.43995679441537</v>
      </c>
    </row>
    <row r="871" spans="1:15" x14ac:dyDescent="0.2">
      <c r="A871">
        <v>869</v>
      </c>
      <c r="B871" s="11">
        <f t="shared" si="54"/>
        <v>0</v>
      </c>
      <c r="C871">
        <f ca="1">SUM($B$2:B871)/A871</f>
        <v>110.34942205542366</v>
      </c>
      <c r="E871">
        <v>869</v>
      </c>
      <c r="F871" s="11">
        <f t="shared" si="55"/>
        <v>0</v>
      </c>
      <c r="G871">
        <f ca="1">SUM($F$2:F871)/E871</f>
        <v>112.31056674056678</v>
      </c>
      <c r="I871">
        <v>869</v>
      </c>
      <c r="J871">
        <f t="shared" si="56"/>
        <v>0</v>
      </c>
      <c r="K871">
        <f ca="1">SUM($J$2:J871)/I871</f>
        <v>110.34942205542366</v>
      </c>
      <c r="M871">
        <v>869</v>
      </c>
      <c r="N871">
        <f t="shared" si="57"/>
        <v>0</v>
      </c>
      <c r="O871">
        <f ca="1">SUM($N$2:N871)/M871</f>
        <v>112.31056674056678</v>
      </c>
    </row>
    <row r="872" spans="1:15" x14ac:dyDescent="0.2">
      <c r="A872">
        <v>870</v>
      </c>
      <c r="B872" s="11">
        <f t="shared" si="54"/>
        <v>0</v>
      </c>
      <c r="C872">
        <f ca="1">SUM($B$2:B872)/A872</f>
        <v>110.22258363926801</v>
      </c>
      <c r="E872">
        <v>870</v>
      </c>
      <c r="F872" s="11">
        <f t="shared" si="55"/>
        <v>0</v>
      </c>
      <c r="G872">
        <f ca="1">SUM($F$2:F872)/E872</f>
        <v>112.18147413511785</v>
      </c>
      <c r="I872">
        <v>870</v>
      </c>
      <c r="J872">
        <f t="shared" si="56"/>
        <v>0</v>
      </c>
      <c r="K872">
        <f ca="1">SUM($J$2:J872)/I872</f>
        <v>110.22258363926801</v>
      </c>
      <c r="M872">
        <v>870</v>
      </c>
      <c r="N872">
        <f t="shared" si="57"/>
        <v>0</v>
      </c>
      <c r="O872">
        <f ca="1">SUM($N$2:N872)/M872</f>
        <v>112.18147413511785</v>
      </c>
    </row>
    <row r="873" spans="1:15" x14ac:dyDescent="0.2">
      <c r="A873">
        <v>871</v>
      </c>
      <c r="B873" s="11">
        <f t="shared" si="54"/>
        <v>0</v>
      </c>
      <c r="C873">
        <f ca="1">SUM($B$2:B873)/A873</f>
        <v>110.09603647091063</v>
      </c>
      <c r="E873">
        <v>871</v>
      </c>
      <c r="F873" s="11">
        <f t="shared" si="55"/>
        <v>0</v>
      </c>
      <c r="G873">
        <f ca="1">SUM($F$2:F873)/E873</f>
        <v>112.05267795356204</v>
      </c>
      <c r="I873">
        <v>871</v>
      </c>
      <c r="J873">
        <f t="shared" si="56"/>
        <v>0</v>
      </c>
      <c r="K873">
        <f ca="1">SUM($J$2:J873)/I873</f>
        <v>110.09603647091063</v>
      </c>
      <c r="M873">
        <v>871</v>
      </c>
      <c r="N873">
        <f t="shared" si="57"/>
        <v>0</v>
      </c>
      <c r="O873">
        <f ca="1">SUM($N$2:N873)/M873</f>
        <v>112.05267795356204</v>
      </c>
    </row>
    <row r="874" spans="1:15" x14ac:dyDescent="0.2">
      <c r="A874">
        <v>872</v>
      </c>
      <c r="B874" s="11">
        <f t="shared" si="54"/>
        <v>0</v>
      </c>
      <c r="C874">
        <f ca="1">SUM($B$2:B874)/A874</f>
        <v>109.96977954835225</v>
      </c>
      <c r="E874">
        <v>872</v>
      </c>
      <c r="F874" s="11">
        <f t="shared" si="55"/>
        <v>0</v>
      </c>
      <c r="G874">
        <f ca="1">SUM($F$2:F874)/E874</f>
        <v>111.92417717609236</v>
      </c>
      <c r="I874">
        <v>872</v>
      </c>
      <c r="J874">
        <f t="shared" si="56"/>
        <v>0</v>
      </c>
      <c r="K874">
        <f ca="1">SUM($J$2:J874)/I874</f>
        <v>109.96977954835225</v>
      </c>
      <c r="M874">
        <v>872</v>
      </c>
      <c r="N874">
        <f t="shared" si="57"/>
        <v>0</v>
      </c>
      <c r="O874">
        <f ca="1">SUM($N$2:N874)/M874</f>
        <v>111.92417717609236</v>
      </c>
    </row>
    <row r="875" spans="1:15" x14ac:dyDescent="0.2">
      <c r="A875">
        <v>873</v>
      </c>
      <c r="B875" s="11">
        <f t="shared" si="54"/>
        <v>0</v>
      </c>
      <c r="C875">
        <f ca="1">SUM($B$2:B875)/A875</f>
        <v>109.84381187418461</v>
      </c>
      <c r="E875">
        <v>873</v>
      </c>
      <c r="F875" s="11">
        <f t="shared" si="55"/>
        <v>0</v>
      </c>
      <c r="G875">
        <f ca="1">SUM($F$2:F875)/E875</f>
        <v>111.79597078757449</v>
      </c>
      <c r="I875">
        <v>873</v>
      </c>
      <c r="J875">
        <f t="shared" si="56"/>
        <v>0</v>
      </c>
      <c r="K875">
        <f ca="1">SUM($J$2:J875)/I875</f>
        <v>109.84381187418461</v>
      </c>
      <c r="M875">
        <v>873</v>
      </c>
      <c r="N875">
        <f t="shared" si="57"/>
        <v>0</v>
      </c>
      <c r="O875">
        <f ca="1">SUM($N$2:N875)/M875</f>
        <v>111.79597078757449</v>
      </c>
    </row>
    <row r="876" spans="1:15" x14ac:dyDescent="0.2">
      <c r="A876">
        <v>874</v>
      </c>
      <c r="B876" s="11">
        <f t="shared" si="54"/>
        <v>0</v>
      </c>
      <c r="C876">
        <f ca="1">SUM($B$2:B876)/A876</f>
        <v>109.71813245556426</v>
      </c>
      <c r="E876">
        <v>874</v>
      </c>
      <c r="F876" s="11">
        <f t="shared" si="55"/>
        <v>0</v>
      </c>
      <c r="G876">
        <f ca="1">SUM($F$2:F876)/E876</f>
        <v>111.66805777752006</v>
      </c>
      <c r="I876">
        <v>874</v>
      </c>
      <c r="J876">
        <f t="shared" si="56"/>
        <v>0</v>
      </c>
      <c r="K876">
        <f ca="1">SUM($J$2:J876)/I876</f>
        <v>109.71813245556426</v>
      </c>
      <c r="M876">
        <v>874</v>
      </c>
      <c r="N876">
        <f t="shared" si="57"/>
        <v>0</v>
      </c>
      <c r="O876">
        <f ca="1">SUM($N$2:N876)/M876</f>
        <v>111.66805777752006</v>
      </c>
    </row>
    <row r="877" spans="1:15" x14ac:dyDescent="0.2">
      <c r="A877">
        <v>875</v>
      </c>
      <c r="B877" s="11">
        <f t="shared" si="54"/>
        <v>0</v>
      </c>
      <c r="C877">
        <f ca="1">SUM($B$2:B877)/A877</f>
        <v>109.59274030418648</v>
      </c>
      <c r="E877">
        <v>875</v>
      </c>
      <c r="F877" s="11">
        <f t="shared" si="55"/>
        <v>0</v>
      </c>
      <c r="G877">
        <f ca="1">SUM($F$2:F877)/E877</f>
        <v>111.54043714006004</v>
      </c>
      <c r="I877">
        <v>875</v>
      </c>
      <c r="J877">
        <f t="shared" si="56"/>
        <v>0</v>
      </c>
      <c r="K877">
        <f ca="1">SUM($J$2:J877)/I877</f>
        <v>109.59274030418648</v>
      </c>
      <c r="M877">
        <v>875</v>
      </c>
      <c r="N877">
        <f t="shared" si="57"/>
        <v>0</v>
      </c>
      <c r="O877">
        <f ca="1">SUM($N$2:N877)/M877</f>
        <v>111.54043714006004</v>
      </c>
    </row>
    <row r="878" spans="1:15" x14ac:dyDescent="0.2">
      <c r="A878">
        <v>876</v>
      </c>
      <c r="B878" s="11">
        <f t="shared" si="54"/>
        <v>0</v>
      </c>
      <c r="C878">
        <f ca="1">SUM($B$2:B878)/A878</f>
        <v>109.46763443625932</v>
      </c>
      <c r="E878">
        <v>876</v>
      </c>
      <c r="F878" s="11">
        <f t="shared" si="55"/>
        <v>0</v>
      </c>
      <c r="G878">
        <f ca="1">SUM($F$2:F878)/E878</f>
        <v>111.41310787391842</v>
      </c>
      <c r="I878">
        <v>876</v>
      </c>
      <c r="J878">
        <f t="shared" si="56"/>
        <v>0</v>
      </c>
      <c r="K878">
        <f ca="1">SUM($J$2:J878)/I878</f>
        <v>109.46763443625932</v>
      </c>
      <c r="M878">
        <v>876</v>
      </c>
      <c r="N878">
        <f t="shared" si="57"/>
        <v>0</v>
      </c>
      <c r="O878">
        <f ca="1">SUM($N$2:N878)/M878</f>
        <v>111.41310787391842</v>
      </c>
    </row>
    <row r="879" spans="1:15" x14ac:dyDescent="0.2">
      <c r="A879">
        <v>877</v>
      </c>
      <c r="B879" s="11">
        <f t="shared" si="54"/>
        <v>0</v>
      </c>
      <c r="C879">
        <f ca="1">SUM($B$2:B879)/A879</f>
        <v>109.34281387247795</v>
      </c>
      <c r="E879">
        <v>877</v>
      </c>
      <c r="F879" s="11">
        <f t="shared" si="55"/>
        <v>0</v>
      </c>
      <c r="G879">
        <f ca="1">SUM($F$2:F879)/E879</f>
        <v>111.28606898238601</v>
      </c>
      <c r="I879">
        <v>877</v>
      </c>
      <c r="J879">
        <f t="shared" si="56"/>
        <v>0</v>
      </c>
      <c r="K879">
        <f ca="1">SUM($J$2:J879)/I879</f>
        <v>109.34281387247795</v>
      </c>
      <c r="M879">
        <v>877</v>
      </c>
      <c r="N879">
        <f t="shared" si="57"/>
        <v>0</v>
      </c>
      <c r="O879">
        <f ca="1">SUM($N$2:N879)/M879</f>
        <v>111.28606898238601</v>
      </c>
    </row>
    <row r="880" spans="1:15" x14ac:dyDescent="0.2">
      <c r="A880">
        <v>878</v>
      </c>
      <c r="B880" s="11">
        <f t="shared" si="54"/>
        <v>0</v>
      </c>
      <c r="C880">
        <f ca="1">SUM($B$2:B880)/A880</f>
        <v>109.21827763799905</v>
      </c>
      <c r="E880">
        <v>878</v>
      </c>
      <c r="F880" s="11">
        <f t="shared" si="55"/>
        <v>0</v>
      </c>
      <c r="G880">
        <f ca="1">SUM($F$2:F880)/E880</f>
        <v>111.15931947329446</v>
      </c>
      <c r="I880">
        <v>878</v>
      </c>
      <c r="J880">
        <f t="shared" si="56"/>
        <v>0</v>
      </c>
      <c r="K880">
        <f ca="1">SUM($J$2:J880)/I880</f>
        <v>109.21827763799905</v>
      </c>
      <c r="M880">
        <v>878</v>
      </c>
      <c r="N880">
        <f t="shared" si="57"/>
        <v>0</v>
      </c>
      <c r="O880">
        <f ca="1">SUM($N$2:N880)/M880</f>
        <v>111.15931947329446</v>
      </c>
    </row>
    <row r="881" spans="1:15" x14ac:dyDescent="0.2">
      <c r="A881">
        <v>879</v>
      </c>
      <c r="B881" s="11">
        <f t="shared" si="54"/>
        <v>0</v>
      </c>
      <c r="C881">
        <f ca="1">SUM($B$2:B881)/A881</f>
        <v>109.09402476241543</v>
      </c>
      <c r="E881">
        <v>879</v>
      </c>
      <c r="F881" s="11">
        <f t="shared" si="55"/>
        <v>0</v>
      </c>
      <c r="G881">
        <f ca="1">SUM($F$2:F881)/E881</f>
        <v>111.03285835899037</v>
      </c>
      <c r="I881">
        <v>879</v>
      </c>
      <c r="J881">
        <f t="shared" si="56"/>
        <v>0</v>
      </c>
      <c r="K881">
        <f ca="1">SUM($J$2:J881)/I881</f>
        <v>109.09402476241543</v>
      </c>
      <c r="M881">
        <v>879</v>
      </c>
      <c r="N881">
        <f t="shared" si="57"/>
        <v>0</v>
      </c>
      <c r="O881">
        <f ca="1">SUM($N$2:N881)/M881</f>
        <v>111.03285835899037</v>
      </c>
    </row>
    <row r="882" spans="1:15" x14ac:dyDescent="0.2">
      <c r="A882">
        <v>880</v>
      </c>
      <c r="B882" s="11">
        <f t="shared" si="54"/>
        <v>0</v>
      </c>
      <c r="C882">
        <f ca="1">SUM($B$2:B882)/A882</f>
        <v>108.97005427973087</v>
      </c>
      <c r="E882">
        <v>880</v>
      </c>
      <c r="F882" s="11">
        <f t="shared" si="55"/>
        <v>0</v>
      </c>
      <c r="G882">
        <f ca="1">SUM($F$2:F882)/E882</f>
        <v>110.90668465630969</v>
      </c>
      <c r="I882">
        <v>880</v>
      </c>
      <c r="J882">
        <f t="shared" si="56"/>
        <v>0</v>
      </c>
      <c r="K882">
        <f ca="1">SUM($J$2:J882)/I882</f>
        <v>108.97005427973087</v>
      </c>
      <c r="M882">
        <v>880</v>
      </c>
      <c r="N882">
        <f t="shared" si="57"/>
        <v>0</v>
      </c>
      <c r="O882">
        <f ca="1">SUM($N$2:N882)/M882</f>
        <v>110.90668465630969</v>
      </c>
    </row>
    <row r="883" spans="1:15" x14ac:dyDescent="0.2">
      <c r="A883">
        <v>881</v>
      </c>
      <c r="B883" s="11">
        <f t="shared" si="54"/>
        <v>0</v>
      </c>
      <c r="C883">
        <f ca="1">SUM($B$2:B883)/A883</f>
        <v>108.84636522833503</v>
      </c>
      <c r="E883">
        <v>881</v>
      </c>
      <c r="F883" s="11">
        <f t="shared" si="55"/>
        <v>0</v>
      </c>
      <c r="G883">
        <f ca="1">SUM($F$2:F883)/E883</f>
        <v>110.78079738655225</v>
      </c>
      <c r="I883">
        <v>881</v>
      </c>
      <c r="J883">
        <f t="shared" si="56"/>
        <v>0</v>
      </c>
      <c r="K883">
        <f ca="1">SUM($J$2:J883)/I883</f>
        <v>108.84636522833503</v>
      </c>
      <c r="M883">
        <v>881</v>
      </c>
      <c r="N883">
        <f t="shared" si="57"/>
        <v>0</v>
      </c>
      <c r="O883">
        <f ca="1">SUM($N$2:N883)/M883</f>
        <v>110.78079738655225</v>
      </c>
    </row>
    <row r="884" spans="1:15" x14ac:dyDescent="0.2">
      <c r="A884">
        <v>882</v>
      </c>
      <c r="B884" s="11">
        <f t="shared" si="54"/>
        <v>0</v>
      </c>
      <c r="C884">
        <f ca="1">SUM($B$2:B884)/A884</f>
        <v>108.72295665097865</v>
      </c>
      <c r="E884">
        <v>882</v>
      </c>
      <c r="F884" s="11">
        <f t="shared" si="55"/>
        <v>0</v>
      </c>
      <c r="G884">
        <f ca="1">SUM($F$2:F884)/E884</f>
        <v>110.65519557545639</v>
      </c>
      <c r="I884">
        <v>882</v>
      </c>
      <c r="J884">
        <f t="shared" si="56"/>
        <v>0</v>
      </c>
      <c r="K884">
        <f ca="1">SUM($J$2:J884)/I884</f>
        <v>108.72295665097865</v>
      </c>
      <c r="M884">
        <v>882</v>
      </c>
      <c r="N884">
        <f t="shared" si="57"/>
        <v>0</v>
      </c>
      <c r="O884">
        <f ca="1">SUM($N$2:N884)/M884</f>
        <v>110.65519557545639</v>
      </c>
    </row>
    <row r="885" spans="1:15" x14ac:dyDescent="0.2">
      <c r="A885">
        <v>883</v>
      </c>
      <c r="B885" s="11">
        <f t="shared" si="54"/>
        <v>0</v>
      </c>
      <c r="C885">
        <f ca="1">SUM($B$2:B885)/A885</f>
        <v>108.59982759474877</v>
      </c>
      <c r="E885">
        <v>883</v>
      </c>
      <c r="F885" s="11">
        <f t="shared" si="55"/>
        <v>0</v>
      </c>
      <c r="G885">
        <f ca="1">SUM($F$2:F885)/E885</f>
        <v>110.52987825317388</v>
      </c>
      <c r="I885">
        <v>883</v>
      </c>
      <c r="J885">
        <f t="shared" si="56"/>
        <v>0</v>
      </c>
      <c r="K885">
        <f ca="1">SUM($J$2:J885)/I885</f>
        <v>108.59982759474877</v>
      </c>
      <c r="M885">
        <v>883</v>
      </c>
      <c r="N885">
        <f t="shared" si="57"/>
        <v>0</v>
      </c>
      <c r="O885">
        <f ca="1">SUM($N$2:N885)/M885</f>
        <v>110.52987825317388</v>
      </c>
    </row>
    <row r="886" spans="1:15" x14ac:dyDescent="0.2">
      <c r="A886">
        <v>884</v>
      </c>
      <c r="B886" s="11">
        <f t="shared" si="54"/>
        <v>0</v>
      </c>
      <c r="C886">
        <f ca="1">SUM($B$2:B886)/A886</f>
        <v>108.47697711104431</v>
      </c>
      <c r="E886">
        <v>884</v>
      </c>
      <c r="F886" s="11">
        <f t="shared" si="55"/>
        <v>0</v>
      </c>
      <c r="G886">
        <f ca="1">SUM($F$2:F886)/E886</f>
        <v>110.40484445424495</v>
      </c>
      <c r="I886">
        <v>884</v>
      </c>
      <c r="J886">
        <f t="shared" si="56"/>
        <v>0</v>
      </c>
      <c r="K886">
        <f ca="1">SUM($J$2:J886)/I886</f>
        <v>108.47697711104431</v>
      </c>
      <c r="M886">
        <v>884</v>
      </c>
      <c r="N886">
        <f t="shared" si="57"/>
        <v>0</v>
      </c>
      <c r="O886">
        <f ca="1">SUM($N$2:N886)/M886</f>
        <v>110.40484445424495</v>
      </c>
    </row>
    <row r="887" spans="1:15" x14ac:dyDescent="0.2">
      <c r="A887">
        <v>885</v>
      </c>
      <c r="B887" s="11">
        <f t="shared" si="54"/>
        <v>0</v>
      </c>
      <c r="C887">
        <f ca="1">SUM($B$2:B887)/A887</f>
        <v>108.3544042555516</v>
      </c>
      <c r="E887">
        <v>885</v>
      </c>
      <c r="F887" s="11">
        <f t="shared" si="55"/>
        <v>0</v>
      </c>
      <c r="G887">
        <f ca="1">SUM($F$2:F887)/E887</f>
        <v>110.28009321757348</v>
      </c>
      <c r="I887">
        <v>885</v>
      </c>
      <c r="J887">
        <f t="shared" si="56"/>
        <v>0</v>
      </c>
      <c r="K887">
        <f ca="1">SUM($J$2:J887)/I887</f>
        <v>108.3544042555516</v>
      </c>
      <c r="M887">
        <v>885</v>
      </c>
      <c r="N887">
        <f t="shared" si="57"/>
        <v>0</v>
      </c>
      <c r="O887">
        <f ca="1">SUM($N$2:N887)/M887</f>
        <v>110.28009321757348</v>
      </c>
    </row>
    <row r="888" spans="1:15" x14ac:dyDescent="0.2">
      <c r="A888">
        <v>886</v>
      </c>
      <c r="B888" s="11">
        <f t="shared" si="54"/>
        <v>0</v>
      </c>
      <c r="C888">
        <f ca="1">SUM($B$2:B888)/A888</f>
        <v>108.23210808822027</v>
      </c>
      <c r="E888">
        <v>886</v>
      </c>
      <c r="F888" s="11">
        <f t="shared" si="55"/>
        <v>0</v>
      </c>
      <c r="G888">
        <f ca="1">SUM($F$2:F888)/E888</f>
        <v>110.15562358640241</v>
      </c>
      <c r="I888">
        <v>886</v>
      </c>
      <c r="J888">
        <f t="shared" si="56"/>
        <v>0</v>
      </c>
      <c r="K888">
        <f ca="1">SUM($J$2:J888)/I888</f>
        <v>108.23210808822027</v>
      </c>
      <c r="M888">
        <v>886</v>
      </c>
      <c r="N888">
        <f t="shared" si="57"/>
        <v>0</v>
      </c>
      <c r="O888">
        <f ca="1">SUM($N$2:N888)/M888</f>
        <v>110.15562358640241</v>
      </c>
    </row>
    <row r="889" spans="1:15" x14ac:dyDescent="0.2">
      <c r="A889">
        <v>887</v>
      </c>
      <c r="B889" s="11">
        <f t="shared" si="54"/>
        <v>0</v>
      </c>
      <c r="C889">
        <f ca="1">SUM($B$2:B889)/A889</f>
        <v>108.11008767323919</v>
      </c>
      <c r="E889">
        <v>887</v>
      </c>
      <c r="F889" s="11">
        <f t="shared" si="55"/>
        <v>0</v>
      </c>
      <c r="G889">
        <f ca="1">SUM($F$2:F889)/E889</f>
        <v>110.03143460828922</v>
      </c>
      <c r="I889">
        <v>887</v>
      </c>
      <c r="J889">
        <f t="shared" si="56"/>
        <v>0</v>
      </c>
      <c r="K889">
        <f ca="1">SUM($J$2:J889)/I889</f>
        <v>108.11008767323919</v>
      </c>
      <c r="M889">
        <v>887</v>
      </c>
      <c r="N889">
        <f t="shared" si="57"/>
        <v>0</v>
      </c>
      <c r="O889">
        <f ca="1">SUM($N$2:N889)/M889</f>
        <v>110.03143460828922</v>
      </c>
    </row>
    <row r="890" spans="1:15" x14ac:dyDescent="0.2">
      <c r="A890">
        <v>888</v>
      </c>
      <c r="B890" s="11">
        <f t="shared" si="54"/>
        <v>0</v>
      </c>
      <c r="C890">
        <f ca="1">SUM($B$2:B890)/A890</f>
        <v>107.98834207901257</v>
      </c>
      <c r="E890">
        <v>888</v>
      </c>
      <c r="F890" s="11">
        <f t="shared" si="55"/>
        <v>0</v>
      </c>
      <c r="G890">
        <f ca="1">SUM($F$2:F890)/E890</f>
        <v>109.90752533508169</v>
      </c>
      <c r="I890">
        <v>888</v>
      </c>
      <c r="J890">
        <f t="shared" si="56"/>
        <v>0</v>
      </c>
      <c r="K890">
        <f ca="1">SUM($J$2:J890)/I890</f>
        <v>107.98834207901257</v>
      </c>
      <c r="M890">
        <v>888</v>
      </c>
      <c r="N890">
        <f t="shared" si="57"/>
        <v>0</v>
      </c>
      <c r="O890">
        <f ca="1">SUM($N$2:N890)/M890</f>
        <v>109.90752533508169</v>
      </c>
    </row>
    <row r="891" spans="1:15" x14ac:dyDescent="0.2">
      <c r="A891">
        <v>889</v>
      </c>
      <c r="B891" s="11">
        <f t="shared" si="54"/>
        <v>0</v>
      </c>
      <c r="C891">
        <f ca="1">SUM($B$2:B891)/A891</f>
        <v>107.8668703781363</v>
      </c>
      <c r="E891">
        <v>889</v>
      </c>
      <c r="F891" s="11">
        <f t="shared" si="55"/>
        <v>0</v>
      </c>
      <c r="G891">
        <f ca="1">SUM($F$2:F891)/E891</f>
        <v>109.78389482289374</v>
      </c>
      <c r="I891">
        <v>889</v>
      </c>
      <c r="J891">
        <f t="shared" si="56"/>
        <v>0</v>
      </c>
      <c r="K891">
        <f ca="1">SUM($J$2:J891)/I891</f>
        <v>107.8668703781363</v>
      </c>
      <c r="M891">
        <v>889</v>
      </c>
      <c r="N891">
        <f t="shared" si="57"/>
        <v>0</v>
      </c>
      <c r="O891">
        <f ca="1">SUM($N$2:N891)/M891</f>
        <v>109.78389482289374</v>
      </c>
    </row>
    <row r="892" spans="1:15" x14ac:dyDescent="0.2">
      <c r="A892">
        <v>890</v>
      </c>
      <c r="B892" s="11">
        <f t="shared" si="54"/>
        <v>0</v>
      </c>
      <c r="C892">
        <f ca="1">SUM($B$2:B892)/A892</f>
        <v>107.74567164737434</v>
      </c>
      <c r="E892">
        <v>890</v>
      </c>
      <c r="F892" s="11">
        <f t="shared" si="55"/>
        <v>0</v>
      </c>
      <c r="G892">
        <f ca="1">SUM($F$2:F892)/E892</f>
        <v>109.6605421320815</v>
      </c>
      <c r="I892">
        <v>890</v>
      </c>
      <c r="J892">
        <f t="shared" si="56"/>
        <v>0</v>
      </c>
      <c r="K892">
        <f ca="1">SUM($J$2:J892)/I892</f>
        <v>107.74567164737434</v>
      </c>
      <c r="M892">
        <v>890</v>
      </c>
      <c r="N892">
        <f t="shared" si="57"/>
        <v>0</v>
      </c>
      <c r="O892">
        <f ca="1">SUM($N$2:N892)/M892</f>
        <v>109.6605421320815</v>
      </c>
    </row>
    <row r="893" spans="1:15" x14ac:dyDescent="0.2">
      <c r="A893">
        <v>891</v>
      </c>
      <c r="B893" s="11">
        <f t="shared" si="54"/>
        <v>0</v>
      </c>
      <c r="C893">
        <f ca="1">SUM($B$2:B893)/A893</f>
        <v>107.62474496763542</v>
      </c>
      <c r="E893">
        <v>891</v>
      </c>
      <c r="F893" s="11">
        <f t="shared" si="55"/>
        <v>0</v>
      </c>
      <c r="G893">
        <f ca="1">SUM($F$2:F893)/E893</f>
        <v>109.53746632721946</v>
      </c>
      <c r="I893">
        <v>891</v>
      </c>
      <c r="J893">
        <f t="shared" si="56"/>
        <v>0</v>
      </c>
      <c r="K893">
        <f ca="1">SUM($J$2:J893)/I893</f>
        <v>107.62474496763542</v>
      </c>
      <c r="M893">
        <v>891</v>
      </c>
      <c r="N893">
        <f t="shared" si="57"/>
        <v>0</v>
      </c>
      <c r="O893">
        <f ca="1">SUM($N$2:N893)/M893</f>
        <v>109.53746632721946</v>
      </c>
    </row>
    <row r="894" spans="1:15" x14ac:dyDescent="0.2">
      <c r="A894">
        <v>892</v>
      </c>
      <c r="B894" s="11">
        <f t="shared" si="54"/>
        <v>0</v>
      </c>
      <c r="C894">
        <f ca="1">SUM($B$2:B894)/A894</f>
        <v>107.50408942394974</v>
      </c>
      <c r="E894">
        <v>892</v>
      </c>
      <c r="F894" s="11">
        <f t="shared" si="55"/>
        <v>0</v>
      </c>
      <c r="G894">
        <f ca="1">SUM($F$2:F894)/E894</f>
        <v>109.41466647707684</v>
      </c>
      <c r="I894">
        <v>892</v>
      </c>
      <c r="J894">
        <f t="shared" si="56"/>
        <v>0</v>
      </c>
      <c r="K894">
        <f ca="1">SUM($J$2:J894)/I894</f>
        <v>107.50408942394974</v>
      </c>
      <c r="M894">
        <v>892</v>
      </c>
      <c r="N894">
        <f t="shared" si="57"/>
        <v>0</v>
      </c>
      <c r="O894">
        <f ca="1">SUM($N$2:N894)/M894</f>
        <v>109.41466647707684</v>
      </c>
    </row>
    <row r="895" spans="1:15" x14ac:dyDescent="0.2">
      <c r="A895">
        <v>893</v>
      </c>
      <c r="B895" s="11">
        <f t="shared" si="54"/>
        <v>0</v>
      </c>
      <c r="C895">
        <f ca="1">SUM($B$2:B895)/A895</f>
        <v>107.38370410544587</v>
      </c>
      <c r="E895">
        <v>893</v>
      </c>
      <c r="F895" s="11">
        <f t="shared" si="55"/>
        <v>0</v>
      </c>
      <c r="G895">
        <f ca="1">SUM($F$2:F895)/E895</f>
        <v>109.2921416545941</v>
      </c>
      <c r="I895">
        <v>893</v>
      </c>
      <c r="J895">
        <f t="shared" si="56"/>
        <v>0</v>
      </c>
      <c r="K895">
        <f ca="1">SUM($J$2:J895)/I895</f>
        <v>107.38370410544587</v>
      </c>
      <c r="M895">
        <v>893</v>
      </c>
      <c r="N895">
        <f t="shared" si="57"/>
        <v>0</v>
      </c>
      <c r="O895">
        <f ca="1">SUM($N$2:N895)/M895</f>
        <v>109.2921416545941</v>
      </c>
    </row>
    <row r="896" spans="1:15" x14ac:dyDescent="0.2">
      <c r="A896">
        <v>894</v>
      </c>
      <c r="B896" s="11">
        <f t="shared" si="54"/>
        <v>0</v>
      </c>
      <c r="C896">
        <f ca="1">SUM($B$2:B896)/A896</f>
        <v>107.26358810532793</v>
      </c>
      <c r="E896">
        <v>894</v>
      </c>
      <c r="F896" s="11">
        <f t="shared" si="55"/>
        <v>0</v>
      </c>
      <c r="G896">
        <f ca="1">SUM($F$2:F896)/E896</f>
        <v>109.16989093685966</v>
      </c>
      <c r="I896">
        <v>894</v>
      </c>
      <c r="J896">
        <f t="shared" si="56"/>
        <v>0</v>
      </c>
      <c r="K896">
        <f ca="1">SUM($J$2:J896)/I896</f>
        <v>107.26358810532793</v>
      </c>
      <c r="M896">
        <v>894</v>
      </c>
      <c r="N896">
        <f t="shared" si="57"/>
        <v>0</v>
      </c>
      <c r="O896">
        <f ca="1">SUM($N$2:N896)/M896</f>
        <v>109.16989093685966</v>
      </c>
    </row>
    <row r="897" spans="1:15" x14ac:dyDescent="0.2">
      <c r="A897">
        <v>895</v>
      </c>
      <c r="B897" s="11">
        <f t="shared" si="54"/>
        <v>0</v>
      </c>
      <c r="C897">
        <f ca="1">SUM($B$2:B897)/A897</f>
        <v>107.1437405208527</v>
      </c>
      <c r="E897">
        <v>895</v>
      </c>
      <c r="F897" s="11">
        <f t="shared" si="55"/>
        <v>0</v>
      </c>
      <c r="G897">
        <f ca="1">SUM($F$2:F897)/E897</f>
        <v>109.04791340508663</v>
      </c>
      <c r="I897">
        <v>895</v>
      </c>
      <c r="J897">
        <f t="shared" si="56"/>
        <v>0</v>
      </c>
      <c r="K897">
        <f ca="1">SUM($J$2:J897)/I897</f>
        <v>107.1437405208527</v>
      </c>
      <c r="M897">
        <v>895</v>
      </c>
      <c r="N897">
        <f t="shared" si="57"/>
        <v>0</v>
      </c>
      <c r="O897">
        <f ca="1">SUM($N$2:N897)/M897</f>
        <v>109.04791340508663</v>
      </c>
    </row>
    <row r="898" spans="1:15" x14ac:dyDescent="0.2">
      <c r="A898">
        <v>896</v>
      </c>
      <c r="B898" s="11">
        <f t="shared" si="54"/>
        <v>0</v>
      </c>
      <c r="C898">
        <f ca="1">SUM($B$2:B898)/A898</f>
        <v>107.0241604533071</v>
      </c>
      <c r="E898">
        <v>896</v>
      </c>
      <c r="F898" s="11">
        <f t="shared" si="55"/>
        <v>0</v>
      </c>
      <c r="G898">
        <f ca="1">SUM($F$2:F898)/E898</f>
        <v>108.92620814458988</v>
      </c>
      <c r="I898">
        <v>896</v>
      </c>
      <c r="J898">
        <f t="shared" si="56"/>
        <v>0</v>
      </c>
      <c r="K898">
        <f ca="1">SUM($J$2:J898)/I898</f>
        <v>107.0241604533071</v>
      </c>
      <c r="M898">
        <v>896</v>
      </c>
      <c r="N898">
        <f t="shared" si="57"/>
        <v>0</v>
      </c>
      <c r="O898">
        <f ca="1">SUM($N$2:N898)/M898</f>
        <v>108.92620814458988</v>
      </c>
    </row>
    <row r="899" spans="1:15" x14ac:dyDescent="0.2">
      <c r="A899">
        <v>897</v>
      </c>
      <c r="B899" s="11">
        <f t="shared" ref="B899:B962" si="58">IF(ARCap-IF((A899-IF(A899/180&gt;1,ROUNDDOWN(A899/180,0)*180,0))/30&lt;=1,IF(200*15*BaseSpeed/60*(YellowConnects+WhiteMHConnects+WhiteOHConnects+HoJConnects+WindfuryConnects+SSConnects+IronfoeConnects)*(A899-180*ROUNDDOWN(A899/180,0))&gt;1200,1200,200*15*BaseSpeed/60*(YellowConnects+WhiteMHConnects+WhiteOHConnects+HoJConnects+WindfuryConnects+SSConnects+IronfoeConnects)*(A899-180*ROUNDDOWN(A899/180,0))),0)&lt;0,ARCap,IF((A899-IF(A899/180&gt;1,ROUNDDOWN(A898/180,0)*180,0))/30&lt;=1,IF(200*15*BaseSpeed/60*(YellowConnects+WhiteMHConnects+WhiteOHConnects+HoJConnects+WindfuryConnects+SSConnects+IronfoeConnects)*(A899-180*ROUNDDOWN(A899/180,0))&gt;1200,1200,200*15*BaseSpeed/60*(YellowConnects+WhiteMHConnects+WhiteOHConnects+HoJConnects+WindfuryConnects+SSConnects+IronfoeConnects)*(A899-180*ROUNDDOWN(A899/180,0))),0))</f>
        <v>0</v>
      </c>
      <c r="C899">
        <f ca="1">SUM($B$2:B899)/A899</f>
        <v>106.90484700798569</v>
      </c>
      <c r="E899">
        <v>897</v>
      </c>
      <c r="F899" s="11">
        <f t="shared" ref="F899:F962" si="59">IF(ARCap-IF((A899-IF(A899/180&gt;1,ROUNDDOWN(A899/180,0)*180,0))/30&lt;=1,IF(200*15*BaseSpeed/60*(YellowConnects20+WhiteMHConnects20+WhiteOHConnects20+HoJConnects20+WindfuryConnects20+SSConnects20+IronfoeConnects20)*(A899-180*ROUNDDOWN(A899/180,0))&gt;1200,1200,200*15*BaseSpeed/60*(YellowConnects20+WhiteMHConnects20+WhiteOHConnects20+HoJConnects20+WindfuryConnects20+SSConnects20+IronfoeConnects20)*(A899-180*ROUNDDOWN(A899/180,0))),0)&lt;0,ARCap,IF((A899-IF(A899/180&gt;1,ROUNDDOWN(A899/180,0)*180,0))/30&lt;=1,IF(200*15*BaseSpeed/60*(YellowConnects20+WhiteMHConnects20+WhiteOHConnects20+HoJConnects20+WindfuryConnects20+SSConnects20+IronfoeConnects20)*(A899-180*ROUNDDOWN(A899/180,0))&gt;1200,1200,200*15*BaseSpeed/60*(YellowConnects20+WhiteMHConnects20+WhiteOHConnects20+HoJConnects20+WindfuryConnects20+SSConnects20+IronfoeConnects20)*(A899-180*ROUNDDOWN(A899/180,0))),0))</f>
        <v>0</v>
      </c>
      <c r="G899">
        <f ca="1">SUM($F$2:F899)/E899</f>
        <v>108.80477424476314</v>
      </c>
      <c r="I899">
        <v>897</v>
      </c>
      <c r="J899">
        <f t="shared" ref="J899:J962" si="60">IF(ARCap-(B899+BRE)&lt;0,ARCap,B899+BRE)</f>
        <v>0</v>
      </c>
      <c r="K899">
        <f ca="1">SUM($J$2:J899)/I899</f>
        <v>106.90484700798569</v>
      </c>
      <c r="M899">
        <v>897</v>
      </c>
      <c r="N899">
        <f t="shared" ref="N899:N962" si="61">IF(ARCap-(F899+BREArmorReduction20)&lt;0,ARCap,F899+BREArmorReduction20)</f>
        <v>0</v>
      </c>
      <c r="O899">
        <f ca="1">SUM($N$2:N899)/M899</f>
        <v>108.80477424476314</v>
      </c>
    </row>
    <row r="900" spans="1:15" x14ac:dyDescent="0.2">
      <c r="A900">
        <v>898</v>
      </c>
      <c r="B900" s="11">
        <f t="shared" si="58"/>
        <v>0</v>
      </c>
      <c r="C900">
        <f ca="1">SUM($B$2:B900)/A900</f>
        <v>106.78579929416834</v>
      </c>
      <c r="E900">
        <v>898</v>
      </c>
      <c r="F900" s="11">
        <f t="shared" si="59"/>
        <v>0</v>
      </c>
      <c r="G900">
        <f ca="1">SUM($F$2:F900)/E900</f>
        <v>108.68361079905627</v>
      </c>
      <c r="I900">
        <v>898</v>
      </c>
      <c r="J900">
        <f t="shared" si="60"/>
        <v>0</v>
      </c>
      <c r="K900">
        <f ca="1">SUM($J$2:J900)/I900</f>
        <v>106.78579929416834</v>
      </c>
      <c r="M900">
        <v>898</v>
      </c>
      <c r="N900">
        <f t="shared" si="61"/>
        <v>0</v>
      </c>
      <c r="O900">
        <f ca="1">SUM($N$2:N900)/M900</f>
        <v>108.68361079905627</v>
      </c>
    </row>
    <row r="901" spans="1:15" x14ac:dyDescent="0.2">
      <c r="A901">
        <v>899</v>
      </c>
      <c r="B901" s="11">
        <f t="shared" si="58"/>
        <v>0</v>
      </c>
      <c r="C901">
        <f ca="1">SUM($B$2:B901)/A901</f>
        <v>106.66701642509807</v>
      </c>
      <c r="E901">
        <v>899</v>
      </c>
      <c r="F901" s="11">
        <f t="shared" si="59"/>
        <v>0</v>
      </c>
      <c r="G901">
        <f ca="1">SUM($F$2:F901)/E901</f>
        <v>108.56271690495277</v>
      </c>
      <c r="I901">
        <v>899</v>
      </c>
      <c r="J901">
        <f t="shared" si="60"/>
        <v>0</v>
      </c>
      <c r="K901">
        <f ca="1">SUM($J$2:J901)/I901</f>
        <v>106.66701642509807</v>
      </c>
      <c r="M901">
        <v>899</v>
      </c>
      <c r="N901">
        <f t="shared" si="61"/>
        <v>0</v>
      </c>
      <c r="O901">
        <f ca="1">SUM($N$2:N901)/M901</f>
        <v>108.56271690495277</v>
      </c>
    </row>
    <row r="902" spans="1:15" x14ac:dyDescent="0.2">
      <c r="A902">
        <v>900</v>
      </c>
      <c r="B902" s="11">
        <f t="shared" ca="1" si="58"/>
        <v>0</v>
      </c>
      <c r="C902">
        <f ca="1">SUM($B$2:B902)/A902</f>
        <v>106.54849751795908</v>
      </c>
      <c r="E902">
        <v>900</v>
      </c>
      <c r="F902" s="11">
        <f t="shared" ca="1" si="59"/>
        <v>0</v>
      </c>
      <c r="G902">
        <f ca="1">SUM($F$2:F902)/E902</f>
        <v>108.44209166394727</v>
      </c>
      <c r="I902">
        <v>900</v>
      </c>
      <c r="J902">
        <f t="shared" ca="1" si="60"/>
        <v>0</v>
      </c>
      <c r="K902">
        <f ca="1">SUM($J$2:J902)/I902</f>
        <v>106.54849751795908</v>
      </c>
      <c r="M902">
        <v>900</v>
      </c>
      <c r="N902">
        <f t="shared" ca="1" si="61"/>
        <v>0</v>
      </c>
      <c r="O902">
        <f ca="1">SUM($N$2:N902)/M902</f>
        <v>108.44209166394727</v>
      </c>
    </row>
    <row r="903" spans="1:15" x14ac:dyDescent="0.2">
      <c r="A903">
        <v>901</v>
      </c>
      <c r="B903" s="11">
        <f t="shared" ca="1" si="58"/>
        <v>118.58197021550885</v>
      </c>
      <c r="C903">
        <f ca="1">SUM($B$2:B903)/A903</f>
        <v>106.56185320352795</v>
      </c>
      <c r="E903">
        <v>901</v>
      </c>
      <c r="F903" s="11">
        <f t="shared" ca="1" si="59"/>
        <v>142.35764995105063</v>
      </c>
      <c r="G903">
        <f ca="1">SUM($F$2:F903)/E903</f>
        <v>108.47973379301175</v>
      </c>
      <c r="I903">
        <v>901</v>
      </c>
      <c r="J903">
        <f t="shared" ca="1" si="60"/>
        <v>118.58197021550885</v>
      </c>
      <c r="K903">
        <f ca="1">SUM($J$2:J903)/I903</f>
        <v>106.56185320352795</v>
      </c>
      <c r="M903">
        <v>901</v>
      </c>
      <c r="N903">
        <f t="shared" ca="1" si="61"/>
        <v>142.35764995105063</v>
      </c>
      <c r="O903">
        <f ca="1">SUM($N$2:N903)/M903</f>
        <v>108.47973379301175</v>
      </c>
    </row>
    <row r="904" spans="1:15" x14ac:dyDescent="0.2">
      <c r="A904">
        <v>902</v>
      </c>
      <c r="B904" s="11">
        <f t="shared" ca="1" si="58"/>
        <v>237.16394043101769</v>
      </c>
      <c r="C904">
        <f ca="1">SUM($B$2:B904)/A904</f>
        <v>106.70664487451185</v>
      </c>
      <c r="E904">
        <v>902</v>
      </c>
      <c r="F904" s="11">
        <f t="shared" ca="1" si="59"/>
        <v>284.71529990210126</v>
      </c>
      <c r="G904">
        <f ca="1">SUM($F$2:F904)/E904</f>
        <v>108.67511690399745</v>
      </c>
      <c r="I904">
        <v>902</v>
      </c>
      <c r="J904">
        <f t="shared" ca="1" si="60"/>
        <v>237.16394043101769</v>
      </c>
      <c r="K904">
        <f ca="1">SUM($J$2:J904)/I904</f>
        <v>106.70664487451185</v>
      </c>
      <c r="M904">
        <v>902</v>
      </c>
      <c r="N904">
        <f t="shared" ca="1" si="61"/>
        <v>284.71529990210126</v>
      </c>
      <c r="O904">
        <f ca="1">SUM($N$2:N904)/M904</f>
        <v>108.67511690399745</v>
      </c>
    </row>
    <row r="905" spans="1:15" x14ac:dyDescent="0.2">
      <c r="A905">
        <v>903</v>
      </c>
      <c r="B905" s="11">
        <f t="shared" ca="1" si="58"/>
        <v>355.74591064652657</v>
      </c>
      <c r="C905">
        <f ca="1">SUM($B$2:B905)/A905</f>
        <v>106.98243586650743</v>
      </c>
      <c r="E905">
        <v>903</v>
      </c>
      <c r="F905" s="11">
        <f t="shared" ca="1" si="59"/>
        <v>427.0729498531519</v>
      </c>
      <c r="G905">
        <f ca="1">SUM($F$2:F905)/E905</f>
        <v>109.02771694048599</v>
      </c>
      <c r="I905">
        <v>903</v>
      </c>
      <c r="J905">
        <f t="shared" ca="1" si="60"/>
        <v>355.74591064652657</v>
      </c>
      <c r="K905">
        <f ca="1">SUM($J$2:J905)/I905</f>
        <v>106.98243586650743</v>
      </c>
      <c r="M905">
        <v>903</v>
      </c>
      <c r="N905">
        <f t="shared" ca="1" si="61"/>
        <v>427.0729498531519</v>
      </c>
      <c r="O905">
        <f ca="1">SUM($N$2:N905)/M905</f>
        <v>109.02771694048599</v>
      </c>
    </row>
    <row r="906" spans="1:15" x14ac:dyDescent="0.2">
      <c r="A906">
        <v>904</v>
      </c>
      <c r="B906" s="11">
        <f t="shared" ca="1" si="58"/>
        <v>474.32788086203539</v>
      </c>
      <c r="C906">
        <f ca="1">SUM($B$2:B906)/A906</f>
        <v>107.3887914472547</v>
      </c>
      <c r="E906">
        <v>904</v>
      </c>
      <c r="F906" s="11">
        <f t="shared" ca="1" si="59"/>
        <v>569.43059980420253</v>
      </c>
      <c r="G906">
        <f ca="1">SUM($F$2:F906)/E906</f>
        <v>109.53701216489276</v>
      </c>
      <c r="I906">
        <v>904</v>
      </c>
      <c r="J906">
        <f t="shared" ca="1" si="60"/>
        <v>474.32788086203539</v>
      </c>
      <c r="K906">
        <f ca="1">SUM($J$2:J906)/I906</f>
        <v>107.3887914472547</v>
      </c>
      <c r="M906">
        <v>904</v>
      </c>
      <c r="N906">
        <f t="shared" ca="1" si="61"/>
        <v>569.43059980420253</v>
      </c>
      <c r="O906">
        <f ca="1">SUM($N$2:N906)/M906</f>
        <v>109.53701216489276</v>
      </c>
    </row>
    <row r="907" spans="1:15" x14ac:dyDescent="0.2">
      <c r="A907">
        <v>905</v>
      </c>
      <c r="B907" s="11">
        <f t="shared" ca="1" si="58"/>
        <v>592.9098510775442</v>
      </c>
      <c r="C907">
        <f ca="1">SUM($B$2:B907)/A907</f>
        <v>107.92527880596221</v>
      </c>
      <c r="E907">
        <v>905</v>
      </c>
      <c r="F907" s="11">
        <f t="shared" ca="1" si="59"/>
        <v>696</v>
      </c>
      <c r="G907">
        <f ca="1">SUM($F$2:F907)/E907</f>
        <v>110.18503756581552</v>
      </c>
      <c r="I907">
        <v>905</v>
      </c>
      <c r="J907">
        <f t="shared" ca="1" si="60"/>
        <v>592.9098510775442</v>
      </c>
      <c r="K907">
        <f ca="1">SUM($J$2:J907)/I907</f>
        <v>107.92527880596221</v>
      </c>
      <c r="M907">
        <v>905</v>
      </c>
      <c r="N907">
        <f t="shared" ca="1" si="61"/>
        <v>696</v>
      </c>
      <c r="O907">
        <f ca="1">SUM($N$2:N907)/M907</f>
        <v>110.18503756581552</v>
      </c>
    </row>
    <row r="908" spans="1:15" x14ac:dyDescent="0.2">
      <c r="A908">
        <v>906</v>
      </c>
      <c r="B908" s="11">
        <f t="shared" ca="1" si="58"/>
        <v>696</v>
      </c>
      <c r="C908">
        <f ca="1">SUM($B$2:B908)/A908</f>
        <v>108.57436790220288</v>
      </c>
      <c r="E908">
        <v>906</v>
      </c>
      <c r="F908" s="11">
        <f t="shared" ca="1" si="59"/>
        <v>696</v>
      </c>
      <c r="G908">
        <f ca="1">SUM($F$2:F908)/E908</f>
        <v>110.83163244708946</v>
      </c>
      <c r="I908">
        <v>906</v>
      </c>
      <c r="J908">
        <f t="shared" ca="1" si="60"/>
        <v>696</v>
      </c>
      <c r="K908">
        <f ca="1">SUM($J$2:J908)/I908</f>
        <v>108.57436790220288</v>
      </c>
      <c r="M908">
        <v>906</v>
      </c>
      <c r="N908">
        <f t="shared" ca="1" si="61"/>
        <v>696</v>
      </c>
      <c r="O908">
        <f ca="1">SUM($N$2:N908)/M908</f>
        <v>110.83163244708946</v>
      </c>
    </row>
    <row r="909" spans="1:15" x14ac:dyDescent="0.2">
      <c r="A909">
        <v>907</v>
      </c>
      <c r="B909" s="11">
        <f t="shared" ca="1" si="58"/>
        <v>696</v>
      </c>
      <c r="C909">
        <f ca="1">SUM($B$2:B909)/A909</f>
        <v>109.22202571046947</v>
      </c>
      <c r="E909">
        <v>907</v>
      </c>
      <c r="F909" s="11">
        <f t="shared" ca="1" si="59"/>
        <v>696</v>
      </c>
      <c r="G909">
        <f ca="1">SUM($F$2:F909)/E909</f>
        <v>111.47680154031207</v>
      </c>
      <c r="I909">
        <v>907</v>
      </c>
      <c r="J909">
        <f t="shared" ca="1" si="60"/>
        <v>696</v>
      </c>
      <c r="K909">
        <f ca="1">SUM($J$2:J909)/I909</f>
        <v>109.22202571046947</v>
      </c>
      <c r="M909">
        <v>907</v>
      </c>
      <c r="N909">
        <f t="shared" ca="1" si="61"/>
        <v>696</v>
      </c>
      <c r="O909">
        <f ca="1">SUM($N$2:N909)/M909</f>
        <v>111.47680154031207</v>
      </c>
    </row>
    <row r="910" spans="1:15" x14ac:dyDescent="0.2">
      <c r="A910">
        <v>908</v>
      </c>
      <c r="B910" s="11">
        <f t="shared" ca="1" si="58"/>
        <v>696</v>
      </c>
      <c r="C910">
        <f ca="1">SUM($B$2:B910)/A910</f>
        <v>109.868256959687</v>
      </c>
      <c r="E910">
        <v>908</v>
      </c>
      <c r="F910" s="11">
        <f t="shared" ca="1" si="59"/>
        <v>696</v>
      </c>
      <c r="G910">
        <f ca="1">SUM($F$2:F910)/E910</f>
        <v>112.12054955623684</v>
      </c>
      <c r="I910">
        <v>908</v>
      </c>
      <c r="J910">
        <f t="shared" ca="1" si="60"/>
        <v>696</v>
      </c>
      <c r="K910">
        <f ca="1">SUM($J$2:J910)/I910</f>
        <v>109.868256959687</v>
      </c>
      <c r="M910">
        <v>908</v>
      </c>
      <c r="N910">
        <f t="shared" ca="1" si="61"/>
        <v>696</v>
      </c>
      <c r="O910">
        <f ca="1">SUM($N$2:N910)/M910</f>
        <v>112.12054955623684</v>
      </c>
    </row>
    <row r="911" spans="1:15" x14ac:dyDescent="0.2">
      <c r="A911">
        <v>909</v>
      </c>
      <c r="B911" s="11">
        <f t="shared" ca="1" si="58"/>
        <v>696</v>
      </c>
      <c r="C911">
        <f ca="1">SUM($B$2:B911)/A911</f>
        <v>110.51306635797118</v>
      </c>
      <c r="E911">
        <v>909</v>
      </c>
      <c r="F911" s="11">
        <f t="shared" ca="1" si="59"/>
        <v>696</v>
      </c>
      <c r="G911">
        <f ca="1">SUM($F$2:F911)/E911</f>
        <v>112.76288118488785</v>
      </c>
      <c r="I911">
        <v>909</v>
      </c>
      <c r="J911">
        <f t="shared" ca="1" si="60"/>
        <v>696</v>
      </c>
      <c r="K911">
        <f ca="1">SUM($J$2:J911)/I911</f>
        <v>110.51306635797118</v>
      </c>
      <c r="M911">
        <v>909</v>
      </c>
      <c r="N911">
        <f t="shared" ca="1" si="61"/>
        <v>696</v>
      </c>
      <c r="O911">
        <f ca="1">SUM($N$2:N911)/M911</f>
        <v>112.76288118488785</v>
      </c>
    </row>
    <row r="912" spans="1:15" x14ac:dyDescent="0.2">
      <c r="A912">
        <v>910</v>
      </c>
      <c r="B912" s="11">
        <f t="shared" ca="1" si="58"/>
        <v>696</v>
      </c>
      <c r="C912">
        <f ca="1">SUM($B$2:B912)/A912</f>
        <v>111.15645859274264</v>
      </c>
      <c r="E912">
        <v>910</v>
      </c>
      <c r="F912" s="11">
        <f t="shared" ca="1" si="59"/>
        <v>696</v>
      </c>
      <c r="G912">
        <f ca="1">SUM($F$2:F912)/E912</f>
        <v>113.40380109567369</v>
      </c>
      <c r="I912">
        <v>910</v>
      </c>
      <c r="J912">
        <f t="shared" ca="1" si="60"/>
        <v>696</v>
      </c>
      <c r="K912">
        <f ca="1">SUM($J$2:J912)/I912</f>
        <v>111.15645859274264</v>
      </c>
      <c r="M912">
        <v>910</v>
      </c>
      <c r="N912">
        <f t="shared" ca="1" si="61"/>
        <v>696</v>
      </c>
      <c r="O912">
        <f ca="1">SUM($N$2:N912)/M912</f>
        <v>113.40380109567369</v>
      </c>
    </row>
    <row r="913" spans="1:15" x14ac:dyDescent="0.2">
      <c r="A913">
        <v>911</v>
      </c>
      <c r="B913" s="11">
        <f t="shared" ca="1" si="58"/>
        <v>696</v>
      </c>
      <c r="C913">
        <f ca="1">SUM($B$2:B913)/A913</f>
        <v>111.79843833084063</v>
      </c>
      <c r="E913">
        <v>911</v>
      </c>
      <c r="F913" s="11">
        <f t="shared" ca="1" si="59"/>
        <v>696</v>
      </c>
      <c r="G913">
        <f ca="1">SUM($F$2:F913)/E913</f>
        <v>114.0433139375006</v>
      </c>
      <c r="I913">
        <v>911</v>
      </c>
      <c r="J913">
        <f t="shared" ca="1" si="60"/>
        <v>696</v>
      </c>
      <c r="K913">
        <f ca="1">SUM($J$2:J913)/I913</f>
        <v>111.79843833084063</v>
      </c>
      <c r="M913">
        <v>911</v>
      </c>
      <c r="N913">
        <f t="shared" ca="1" si="61"/>
        <v>696</v>
      </c>
      <c r="O913">
        <f ca="1">SUM($N$2:N913)/M913</f>
        <v>114.0433139375006</v>
      </c>
    </row>
    <row r="914" spans="1:15" x14ac:dyDescent="0.2">
      <c r="A914">
        <v>912</v>
      </c>
      <c r="B914" s="11">
        <f t="shared" ca="1" si="58"/>
        <v>696</v>
      </c>
      <c r="C914">
        <f ca="1">SUM($B$2:B914)/A914</f>
        <v>112.43901021863574</v>
      </c>
      <c r="E914">
        <v>912</v>
      </c>
      <c r="F914" s="11">
        <f t="shared" ca="1" si="59"/>
        <v>696</v>
      </c>
      <c r="G914">
        <f ca="1">SUM($F$2:F914)/E914</f>
        <v>114.68142433888492</v>
      </c>
      <c r="I914">
        <v>912</v>
      </c>
      <c r="J914">
        <f t="shared" ca="1" si="60"/>
        <v>696</v>
      </c>
      <c r="K914">
        <f ca="1">SUM($J$2:J914)/I914</f>
        <v>112.43901021863574</v>
      </c>
      <c r="M914">
        <v>912</v>
      </c>
      <c r="N914">
        <f t="shared" ca="1" si="61"/>
        <v>696</v>
      </c>
      <c r="O914">
        <f ca="1">SUM($N$2:N914)/M914</f>
        <v>114.68142433888492</v>
      </c>
    </row>
    <row r="915" spans="1:15" x14ac:dyDescent="0.2">
      <c r="A915">
        <v>913</v>
      </c>
      <c r="B915" s="11">
        <f t="shared" ca="1" si="58"/>
        <v>696</v>
      </c>
      <c r="C915">
        <f ca="1">SUM($B$2:B915)/A915</f>
        <v>113.07817888214217</v>
      </c>
      <c r="E915">
        <v>913</v>
      </c>
      <c r="F915" s="11">
        <f t="shared" ca="1" si="59"/>
        <v>696</v>
      </c>
      <c r="G915">
        <f ca="1">SUM($F$2:F915)/E915</f>
        <v>115.31813690806467</v>
      </c>
      <c r="I915">
        <v>913</v>
      </c>
      <c r="J915">
        <f t="shared" ca="1" si="60"/>
        <v>696</v>
      </c>
      <c r="K915">
        <f ca="1">SUM($J$2:J915)/I915</f>
        <v>113.07817888214217</v>
      </c>
      <c r="M915">
        <v>913</v>
      </c>
      <c r="N915">
        <f t="shared" ca="1" si="61"/>
        <v>696</v>
      </c>
      <c r="O915">
        <f ca="1">SUM($N$2:N915)/M915</f>
        <v>115.31813690806467</v>
      </c>
    </row>
    <row r="916" spans="1:15" x14ac:dyDescent="0.2">
      <c r="A916">
        <v>914</v>
      </c>
      <c r="B916" s="11">
        <f t="shared" ca="1" si="58"/>
        <v>696</v>
      </c>
      <c r="C916">
        <f ca="1">SUM($B$2:B916)/A916</f>
        <v>113.71594892712889</v>
      </c>
      <c r="E916">
        <v>914</v>
      </c>
      <c r="F916" s="11">
        <f t="shared" ca="1" si="59"/>
        <v>696</v>
      </c>
      <c r="G916">
        <f ca="1">SUM($F$2:F916)/E916</f>
        <v>115.95345623311056</v>
      </c>
      <c r="I916">
        <v>914</v>
      </c>
      <c r="J916">
        <f t="shared" ca="1" si="60"/>
        <v>696</v>
      </c>
      <c r="K916">
        <f ca="1">SUM($J$2:J916)/I916</f>
        <v>113.71594892712889</v>
      </c>
      <c r="M916">
        <v>914</v>
      </c>
      <c r="N916">
        <f t="shared" ca="1" si="61"/>
        <v>696</v>
      </c>
      <c r="O916">
        <f ca="1">SUM($N$2:N916)/M916</f>
        <v>115.95345623311056</v>
      </c>
    </row>
    <row r="917" spans="1:15" x14ac:dyDescent="0.2">
      <c r="A917">
        <v>915</v>
      </c>
      <c r="B917" s="11">
        <f t="shared" ca="1" si="58"/>
        <v>696</v>
      </c>
      <c r="C917">
        <f ca="1">SUM($B$2:B917)/A917</f>
        <v>114.35232493923039</v>
      </c>
      <c r="E917">
        <v>915</v>
      </c>
      <c r="F917" s="11">
        <f t="shared" ca="1" si="59"/>
        <v>696</v>
      </c>
      <c r="G917">
        <f ca="1">SUM($F$2:F917)/E917</f>
        <v>116.58738688203611</v>
      </c>
      <c r="I917">
        <v>915</v>
      </c>
      <c r="J917">
        <f t="shared" ca="1" si="60"/>
        <v>696</v>
      </c>
      <c r="K917">
        <f ca="1">SUM($J$2:J917)/I917</f>
        <v>114.35232493923039</v>
      </c>
      <c r="M917">
        <v>915</v>
      </c>
      <c r="N917">
        <f t="shared" ca="1" si="61"/>
        <v>696</v>
      </c>
      <c r="O917">
        <f ca="1">SUM($N$2:N917)/M917</f>
        <v>116.58738688203611</v>
      </c>
    </row>
    <row r="918" spans="1:15" x14ac:dyDescent="0.2">
      <c r="A918">
        <v>916</v>
      </c>
      <c r="B918" s="11">
        <f t="shared" ca="1" si="58"/>
        <v>696</v>
      </c>
      <c r="C918">
        <f ca="1">SUM($B$2:B918)/A918</f>
        <v>114.98731148405655</v>
      </c>
      <c r="E918">
        <v>916</v>
      </c>
      <c r="F918" s="11">
        <f t="shared" ca="1" si="59"/>
        <v>696</v>
      </c>
      <c r="G918">
        <f ca="1">SUM($F$2:F918)/E918</f>
        <v>117.21993340290726</v>
      </c>
      <c r="I918">
        <v>916</v>
      </c>
      <c r="J918">
        <f t="shared" ca="1" si="60"/>
        <v>696</v>
      </c>
      <c r="K918">
        <f ca="1">SUM($J$2:J918)/I918</f>
        <v>114.98731148405655</v>
      </c>
      <c r="M918">
        <v>916</v>
      </c>
      <c r="N918">
        <f t="shared" ca="1" si="61"/>
        <v>696</v>
      </c>
      <c r="O918">
        <f ca="1">SUM($N$2:N918)/M918</f>
        <v>117.21993340290726</v>
      </c>
    </row>
    <row r="919" spans="1:15" x14ac:dyDescent="0.2">
      <c r="A919">
        <v>917</v>
      </c>
      <c r="B919" s="11">
        <f t="shared" ca="1" si="58"/>
        <v>696</v>
      </c>
      <c r="C919">
        <f ca="1">SUM($B$2:B919)/A919</f>
        <v>115.62091310730186</v>
      </c>
      <c r="E919">
        <v>917</v>
      </c>
      <c r="F919" s="11">
        <f t="shared" ca="1" si="59"/>
        <v>696</v>
      </c>
      <c r="G919">
        <f ca="1">SUM($F$2:F919)/E919</f>
        <v>117.85110032395097</v>
      </c>
      <c r="I919">
        <v>917</v>
      </c>
      <c r="J919">
        <f t="shared" ca="1" si="60"/>
        <v>696</v>
      </c>
      <c r="K919">
        <f ca="1">SUM($J$2:J919)/I919</f>
        <v>115.62091310730186</v>
      </c>
      <c r="M919">
        <v>917</v>
      </c>
      <c r="N919">
        <f t="shared" ca="1" si="61"/>
        <v>696</v>
      </c>
      <c r="O919">
        <f ca="1">SUM($N$2:N919)/M919</f>
        <v>117.85110032395097</v>
      </c>
    </row>
    <row r="920" spans="1:15" x14ac:dyDescent="0.2">
      <c r="A920">
        <v>918</v>
      </c>
      <c r="B920" s="11">
        <f t="shared" ca="1" si="58"/>
        <v>696</v>
      </c>
      <c r="C920">
        <f ca="1">SUM($B$2:B920)/A920</f>
        <v>116.25313433485381</v>
      </c>
      <c r="E920">
        <v>918</v>
      </c>
      <c r="F920" s="11">
        <f t="shared" ca="1" si="59"/>
        <v>696</v>
      </c>
      <c r="G920">
        <f ca="1">SUM($F$2:F920)/E920</f>
        <v>118.48089215366345</v>
      </c>
      <c r="I920">
        <v>918</v>
      </c>
      <c r="J920">
        <f t="shared" ca="1" si="60"/>
        <v>696</v>
      </c>
      <c r="K920">
        <f ca="1">SUM($J$2:J920)/I920</f>
        <v>116.25313433485381</v>
      </c>
      <c r="M920">
        <v>918</v>
      </c>
      <c r="N920">
        <f t="shared" ca="1" si="61"/>
        <v>696</v>
      </c>
      <c r="O920">
        <f ca="1">SUM($N$2:N920)/M920</f>
        <v>118.48089215366345</v>
      </c>
    </row>
    <row r="921" spans="1:15" x14ac:dyDescent="0.2">
      <c r="A921">
        <v>919</v>
      </c>
      <c r="B921" s="11">
        <f t="shared" ca="1" si="58"/>
        <v>696</v>
      </c>
      <c r="C921">
        <f ca="1">SUM($B$2:B921)/A921</f>
        <v>116.88397967290076</v>
      </c>
      <c r="E921">
        <v>919</v>
      </c>
      <c r="F921" s="11">
        <f t="shared" ca="1" si="59"/>
        <v>696</v>
      </c>
      <c r="G921">
        <f ca="1">SUM($F$2:F921)/E921</f>
        <v>119.10931338091736</v>
      </c>
      <c r="I921">
        <v>919</v>
      </c>
      <c r="J921">
        <f t="shared" ca="1" si="60"/>
        <v>696</v>
      </c>
      <c r="K921">
        <f ca="1">SUM($J$2:J921)/I921</f>
        <v>116.88397967290076</v>
      </c>
      <c r="M921">
        <v>919</v>
      </c>
      <c r="N921">
        <f t="shared" ca="1" si="61"/>
        <v>696</v>
      </c>
      <c r="O921">
        <f ca="1">SUM($N$2:N921)/M921</f>
        <v>119.10931338091736</v>
      </c>
    </row>
    <row r="922" spans="1:15" x14ac:dyDescent="0.2">
      <c r="A922">
        <v>920</v>
      </c>
      <c r="B922" s="11">
        <f t="shared" ca="1" si="58"/>
        <v>696</v>
      </c>
      <c r="C922">
        <f ca="1">SUM($B$2:B922)/A922</f>
        <v>117.51345360803892</v>
      </c>
      <c r="E922">
        <v>920</v>
      </c>
      <c r="F922" s="11">
        <f t="shared" ca="1" si="59"/>
        <v>696</v>
      </c>
      <c r="G922">
        <f ca="1">SUM($F$2:F922)/E922</f>
        <v>119.73636847506853</v>
      </c>
      <c r="I922">
        <v>920</v>
      </c>
      <c r="J922">
        <f t="shared" ca="1" si="60"/>
        <v>696</v>
      </c>
      <c r="K922">
        <f ca="1">SUM($J$2:J922)/I922</f>
        <v>117.51345360803892</v>
      </c>
      <c r="M922">
        <v>920</v>
      </c>
      <c r="N922">
        <f t="shared" ca="1" si="61"/>
        <v>696</v>
      </c>
      <c r="O922">
        <f ca="1">SUM($N$2:N922)/M922</f>
        <v>119.73636847506853</v>
      </c>
    </row>
    <row r="923" spans="1:15" x14ac:dyDescent="0.2">
      <c r="A923">
        <v>921</v>
      </c>
      <c r="B923" s="11">
        <f t="shared" ca="1" si="58"/>
        <v>696</v>
      </c>
      <c r="C923">
        <f ca="1">SUM($B$2:B923)/A923</f>
        <v>118.14156060737872</v>
      </c>
      <c r="E923">
        <v>921</v>
      </c>
      <c r="F923" s="11">
        <f t="shared" ca="1" si="59"/>
        <v>696</v>
      </c>
      <c r="G923">
        <f ca="1">SUM($F$2:F923)/E923</f>
        <v>120.36206188606194</v>
      </c>
      <c r="I923">
        <v>921</v>
      </c>
      <c r="J923">
        <f t="shared" ca="1" si="60"/>
        <v>696</v>
      </c>
      <c r="K923">
        <f ca="1">SUM($J$2:J923)/I923</f>
        <v>118.14156060737872</v>
      </c>
      <c r="M923">
        <v>921</v>
      </c>
      <c r="N923">
        <f t="shared" ca="1" si="61"/>
        <v>696</v>
      </c>
      <c r="O923">
        <f ca="1">SUM($N$2:N923)/M923</f>
        <v>120.36206188606194</v>
      </c>
    </row>
    <row r="924" spans="1:15" x14ac:dyDescent="0.2">
      <c r="A924">
        <v>922</v>
      </c>
      <c r="B924" s="11">
        <f t="shared" ca="1" si="58"/>
        <v>696</v>
      </c>
      <c r="C924">
        <f ca="1">SUM($B$2:B924)/A924</f>
        <v>118.76830511865055</v>
      </c>
      <c r="E924">
        <v>922</v>
      </c>
      <c r="F924" s="11">
        <f t="shared" ca="1" si="59"/>
        <v>696</v>
      </c>
      <c r="G924">
        <f ca="1">SUM($F$2:F924)/E924</f>
        <v>120.98639804453693</v>
      </c>
      <c r="I924">
        <v>922</v>
      </c>
      <c r="J924">
        <f t="shared" ca="1" si="60"/>
        <v>696</v>
      </c>
      <c r="K924">
        <f ca="1">SUM($J$2:J924)/I924</f>
        <v>118.76830511865055</v>
      </c>
      <c r="M924">
        <v>922</v>
      </c>
      <c r="N924">
        <f t="shared" ca="1" si="61"/>
        <v>696</v>
      </c>
      <c r="O924">
        <f ca="1">SUM($N$2:N924)/M924</f>
        <v>120.98639804453693</v>
      </c>
    </row>
    <row r="925" spans="1:15" x14ac:dyDescent="0.2">
      <c r="A925">
        <v>923</v>
      </c>
      <c r="B925" s="11">
        <f t="shared" ca="1" si="58"/>
        <v>696</v>
      </c>
      <c r="C925">
        <f ca="1">SUM($B$2:B925)/A925</f>
        <v>119.39369157030964</v>
      </c>
      <c r="E925">
        <v>923</v>
      </c>
      <c r="F925" s="11">
        <f t="shared" ca="1" si="59"/>
        <v>696</v>
      </c>
      <c r="G925">
        <f ca="1">SUM($F$2:F925)/E925</f>
        <v>121.6093813619318</v>
      </c>
      <c r="I925">
        <v>923</v>
      </c>
      <c r="J925">
        <f t="shared" ca="1" si="60"/>
        <v>696</v>
      </c>
      <c r="K925">
        <f ca="1">SUM($J$2:J925)/I925</f>
        <v>119.39369157030964</v>
      </c>
      <c r="M925">
        <v>923</v>
      </c>
      <c r="N925">
        <f t="shared" ca="1" si="61"/>
        <v>696</v>
      </c>
      <c r="O925">
        <f ca="1">SUM($N$2:N925)/M925</f>
        <v>121.6093813619318</v>
      </c>
    </row>
    <row r="926" spans="1:15" x14ac:dyDescent="0.2">
      <c r="A926">
        <v>924</v>
      </c>
      <c r="B926" s="11">
        <f t="shared" ca="1" si="58"/>
        <v>696</v>
      </c>
      <c r="C926">
        <f ca="1">SUM($B$2:B926)/A926</f>
        <v>120.01772437164048</v>
      </c>
      <c r="E926">
        <v>924</v>
      </c>
      <c r="F926" s="11">
        <f t="shared" ca="1" si="59"/>
        <v>696</v>
      </c>
      <c r="G926">
        <f ca="1">SUM($F$2:F926)/E926</f>
        <v>122.23101623058771</v>
      </c>
      <c r="I926">
        <v>924</v>
      </c>
      <c r="J926">
        <f t="shared" ca="1" si="60"/>
        <v>696</v>
      </c>
      <c r="K926">
        <f ca="1">SUM($J$2:J926)/I926</f>
        <v>120.01772437164048</v>
      </c>
      <c r="M926">
        <v>924</v>
      </c>
      <c r="N926">
        <f t="shared" ca="1" si="61"/>
        <v>696</v>
      </c>
      <c r="O926">
        <f ca="1">SUM($N$2:N926)/M926</f>
        <v>122.23101623058771</v>
      </c>
    </row>
    <row r="927" spans="1:15" x14ac:dyDescent="0.2">
      <c r="A927">
        <v>925</v>
      </c>
      <c r="B927" s="11">
        <f t="shared" ca="1" si="58"/>
        <v>696</v>
      </c>
      <c r="C927">
        <f ca="1">SUM($B$2:B927)/A927</f>
        <v>120.64040791286033</v>
      </c>
      <c r="E927">
        <v>925</v>
      </c>
      <c r="F927" s="11">
        <f t="shared" ca="1" si="59"/>
        <v>696</v>
      </c>
      <c r="G927">
        <f ca="1">SUM($F$2:F927)/E927</f>
        <v>122.85130702385194</v>
      </c>
      <c r="I927">
        <v>925</v>
      </c>
      <c r="J927">
        <f t="shared" ca="1" si="60"/>
        <v>696</v>
      </c>
      <c r="K927">
        <f ca="1">SUM($J$2:J927)/I927</f>
        <v>120.64040791286033</v>
      </c>
      <c r="M927">
        <v>925</v>
      </c>
      <c r="N927">
        <f t="shared" ca="1" si="61"/>
        <v>696</v>
      </c>
      <c r="O927">
        <f ca="1">SUM($N$2:N927)/M927</f>
        <v>122.85130702385194</v>
      </c>
    </row>
    <row r="928" spans="1:15" x14ac:dyDescent="0.2">
      <c r="A928">
        <v>926</v>
      </c>
      <c r="B928" s="11">
        <f t="shared" ca="1" si="58"/>
        <v>696</v>
      </c>
      <c r="C928">
        <f ca="1">SUM($B$2:B928)/A928</f>
        <v>121.26174656522225</v>
      </c>
      <c r="E928">
        <v>926</v>
      </c>
      <c r="F928" s="11">
        <f t="shared" ca="1" si="59"/>
        <v>696</v>
      </c>
      <c r="G928">
        <f ca="1">SUM($F$2:F928)/E928</f>
        <v>123.4702580961804</v>
      </c>
      <c r="I928">
        <v>926</v>
      </c>
      <c r="J928">
        <f t="shared" ca="1" si="60"/>
        <v>696</v>
      </c>
      <c r="K928">
        <f ca="1">SUM($J$2:J928)/I928</f>
        <v>121.26174656522225</v>
      </c>
      <c r="M928">
        <v>926</v>
      </c>
      <c r="N928">
        <f t="shared" ca="1" si="61"/>
        <v>696</v>
      </c>
      <c r="O928">
        <f ca="1">SUM($N$2:N928)/M928</f>
        <v>123.4702580961804</v>
      </c>
    </row>
    <row r="929" spans="1:15" x14ac:dyDescent="0.2">
      <c r="A929">
        <v>927</v>
      </c>
      <c r="B929" s="11">
        <f t="shared" ca="1" si="58"/>
        <v>696</v>
      </c>
      <c r="C929">
        <f ca="1">SUM($B$2:B929)/A929</f>
        <v>121.88174468111737</v>
      </c>
      <c r="E929">
        <v>927</v>
      </c>
      <c r="F929" s="11">
        <f t="shared" ca="1" si="59"/>
        <v>696</v>
      </c>
      <c r="G929">
        <f ca="1">SUM($F$2:F929)/E929</f>
        <v>124.08787378323953</v>
      </c>
      <c r="I929">
        <v>927</v>
      </c>
      <c r="J929">
        <f t="shared" ca="1" si="60"/>
        <v>696</v>
      </c>
      <c r="K929">
        <f ca="1">SUM($J$2:J929)/I929</f>
        <v>121.88174468111737</v>
      </c>
      <c r="M929">
        <v>927</v>
      </c>
      <c r="N929">
        <f t="shared" ca="1" si="61"/>
        <v>696</v>
      </c>
      <c r="O929">
        <f ca="1">SUM($N$2:N929)/M929</f>
        <v>124.08787378323953</v>
      </c>
    </row>
    <row r="930" spans="1:15" x14ac:dyDescent="0.2">
      <c r="A930">
        <v>928</v>
      </c>
      <c r="B930" s="11">
        <f t="shared" ca="1" si="58"/>
        <v>696</v>
      </c>
      <c r="C930">
        <f ca="1">SUM($B$2:B930)/A930</f>
        <v>122.50040659417651</v>
      </c>
      <c r="E930">
        <v>928</v>
      </c>
      <c r="F930" s="11">
        <f t="shared" ca="1" si="59"/>
        <v>696</v>
      </c>
      <c r="G930">
        <f ca="1">SUM($F$2:F930)/E930</f>
        <v>124.70415840200759</v>
      </c>
      <c r="I930">
        <v>928</v>
      </c>
      <c r="J930">
        <f t="shared" ca="1" si="60"/>
        <v>696</v>
      </c>
      <c r="K930">
        <f ca="1">SUM($J$2:J930)/I930</f>
        <v>122.50040659417651</v>
      </c>
      <c r="M930">
        <v>928</v>
      </c>
      <c r="N930">
        <f t="shared" ca="1" si="61"/>
        <v>696</v>
      </c>
      <c r="O930">
        <f ca="1">SUM($N$2:N930)/M930</f>
        <v>124.70415840200759</v>
      </c>
    </row>
    <row r="931" spans="1:15" x14ac:dyDescent="0.2">
      <c r="A931">
        <v>929</v>
      </c>
      <c r="B931" s="11">
        <f t="shared" ca="1" si="58"/>
        <v>696</v>
      </c>
      <c r="C931">
        <f ca="1">SUM($B$2:B931)/A931</f>
        <v>123.11773661937116</v>
      </c>
      <c r="E931">
        <v>929</v>
      </c>
      <c r="F931" s="11">
        <f t="shared" ca="1" si="59"/>
        <v>696</v>
      </c>
      <c r="G931">
        <f ca="1">SUM($F$2:F931)/E931</f>
        <v>125.31911625087518</v>
      </c>
      <c r="I931">
        <v>929</v>
      </c>
      <c r="J931">
        <f t="shared" ca="1" si="60"/>
        <v>696</v>
      </c>
      <c r="K931">
        <f ca="1">SUM($J$2:J931)/I931</f>
        <v>123.11773661937116</v>
      </c>
      <c r="M931">
        <v>929</v>
      </c>
      <c r="N931">
        <f t="shared" ca="1" si="61"/>
        <v>696</v>
      </c>
      <c r="O931">
        <f ca="1">SUM($N$2:N931)/M931</f>
        <v>125.31911625087518</v>
      </c>
    </row>
    <row r="932" spans="1:15" x14ac:dyDescent="0.2">
      <c r="A932">
        <v>930</v>
      </c>
      <c r="B932" s="11">
        <f t="shared" ca="1" si="58"/>
        <v>696</v>
      </c>
      <c r="C932">
        <f ca="1">SUM($B$2:B932)/A932</f>
        <v>123.73373905311377</v>
      </c>
      <c r="E932">
        <v>930</v>
      </c>
      <c r="F932" s="11">
        <f t="shared" ca="1" si="59"/>
        <v>696</v>
      </c>
      <c r="G932">
        <f ca="1">SUM($F$2:F932)/E932</f>
        <v>125.93275160974521</v>
      </c>
      <c r="I932">
        <v>930</v>
      </c>
      <c r="J932">
        <f t="shared" ca="1" si="60"/>
        <v>696</v>
      </c>
      <c r="K932">
        <f ca="1">SUM($J$2:J932)/I932</f>
        <v>123.73373905311377</v>
      </c>
      <c r="M932">
        <v>930</v>
      </c>
      <c r="N932">
        <f t="shared" ca="1" si="61"/>
        <v>696</v>
      </c>
      <c r="O932">
        <f ca="1">SUM($N$2:N932)/M932</f>
        <v>125.93275160974521</v>
      </c>
    </row>
    <row r="933" spans="1:15" x14ac:dyDescent="0.2">
      <c r="A933">
        <v>931</v>
      </c>
      <c r="B933" s="11">
        <f t="shared" si="58"/>
        <v>0</v>
      </c>
      <c r="C933">
        <f ca="1">SUM($B$2:B933)/A933</f>
        <v>123.60083492953362</v>
      </c>
      <c r="E933">
        <v>931</v>
      </c>
      <c r="F933" s="11">
        <f t="shared" si="59"/>
        <v>0</v>
      </c>
      <c r="G933">
        <f ca="1">SUM($F$2:F933)/E933</f>
        <v>125.79748549630833</v>
      </c>
      <c r="I933">
        <v>931</v>
      </c>
      <c r="J933">
        <f t="shared" si="60"/>
        <v>0</v>
      </c>
      <c r="K933">
        <f ca="1">SUM($J$2:J933)/I933</f>
        <v>123.60083492953362</v>
      </c>
      <c r="M933">
        <v>931</v>
      </c>
      <c r="N933">
        <f t="shared" si="61"/>
        <v>0</v>
      </c>
      <c r="O933">
        <f ca="1">SUM($N$2:N933)/M933</f>
        <v>125.79748549630833</v>
      </c>
    </row>
    <row r="934" spans="1:15" x14ac:dyDescent="0.2">
      <c r="A934">
        <v>932</v>
      </c>
      <c r="B934" s="11">
        <f t="shared" si="58"/>
        <v>0</v>
      </c>
      <c r="C934">
        <f ca="1">SUM($B$2:B934)/A934</f>
        <v>123.46821600793541</v>
      </c>
      <c r="E934">
        <v>932</v>
      </c>
      <c r="F934" s="11">
        <f t="shared" si="59"/>
        <v>0</v>
      </c>
      <c r="G934">
        <f ca="1">SUM($F$2:F934)/E934</f>
        <v>125.66250965350112</v>
      </c>
      <c r="I934">
        <v>932</v>
      </c>
      <c r="J934">
        <f t="shared" si="60"/>
        <v>0</v>
      </c>
      <c r="K934">
        <f ca="1">SUM($J$2:J934)/I934</f>
        <v>123.46821600793541</v>
      </c>
      <c r="M934">
        <v>932</v>
      </c>
      <c r="N934">
        <f t="shared" si="61"/>
        <v>0</v>
      </c>
      <c r="O934">
        <f ca="1">SUM($N$2:N934)/M934</f>
        <v>125.66250965350112</v>
      </c>
    </row>
    <row r="935" spans="1:15" x14ac:dyDescent="0.2">
      <c r="A935">
        <v>933</v>
      </c>
      <c r="B935" s="11">
        <f t="shared" si="58"/>
        <v>0</v>
      </c>
      <c r="C935">
        <f ca="1">SUM($B$2:B935)/A935</f>
        <v>123.33588137127096</v>
      </c>
      <c r="E935">
        <v>933</v>
      </c>
      <c r="F935" s="11">
        <f t="shared" si="59"/>
        <v>0</v>
      </c>
      <c r="G935">
        <f ca="1">SUM($F$2:F935)/E935</f>
        <v>125.52782314797754</v>
      </c>
      <c r="I935">
        <v>933</v>
      </c>
      <c r="J935">
        <f t="shared" si="60"/>
        <v>0</v>
      </c>
      <c r="K935">
        <f ca="1">SUM($J$2:J935)/I935</f>
        <v>123.33588137127096</v>
      </c>
      <c r="M935">
        <v>933</v>
      </c>
      <c r="N935">
        <f t="shared" si="61"/>
        <v>0</v>
      </c>
      <c r="O935">
        <f ca="1">SUM($N$2:N935)/M935</f>
        <v>125.52782314797754</v>
      </c>
    </row>
    <row r="936" spans="1:15" x14ac:dyDescent="0.2">
      <c r="A936">
        <v>934</v>
      </c>
      <c r="B936" s="11">
        <f t="shared" si="58"/>
        <v>0</v>
      </c>
      <c r="C936">
        <f ca="1">SUM($B$2:B936)/A936</f>
        <v>123.20383010641949</v>
      </c>
      <c r="E936">
        <v>934</v>
      </c>
      <c r="F936" s="11">
        <f t="shared" si="59"/>
        <v>0</v>
      </c>
      <c r="G936">
        <f ca="1">SUM($F$2:F936)/E936</f>
        <v>125.3934250503887</v>
      </c>
      <c r="I936">
        <v>934</v>
      </c>
      <c r="J936">
        <f t="shared" si="60"/>
        <v>0</v>
      </c>
      <c r="K936">
        <f ca="1">SUM($J$2:J936)/I936</f>
        <v>123.20383010641949</v>
      </c>
      <c r="M936">
        <v>934</v>
      </c>
      <c r="N936">
        <f t="shared" si="61"/>
        <v>0</v>
      </c>
      <c r="O936">
        <f ca="1">SUM($N$2:N936)/M936</f>
        <v>125.3934250503887</v>
      </c>
    </row>
    <row r="937" spans="1:15" x14ac:dyDescent="0.2">
      <c r="A937">
        <v>935</v>
      </c>
      <c r="B937" s="11">
        <f t="shared" si="58"/>
        <v>0</v>
      </c>
      <c r="C937">
        <f ca="1">SUM($B$2:B937)/A937</f>
        <v>123.07206130416664</v>
      </c>
      <c r="E937">
        <v>935</v>
      </c>
      <c r="F937" s="11">
        <f t="shared" si="59"/>
        <v>0</v>
      </c>
      <c r="G937">
        <f ca="1">SUM($F$2:F937)/E937</f>
        <v>125.25931443536155</v>
      </c>
      <c r="I937">
        <v>935</v>
      </c>
      <c r="J937">
        <f t="shared" si="60"/>
        <v>0</v>
      </c>
      <c r="K937">
        <f ca="1">SUM($J$2:J937)/I937</f>
        <v>123.07206130416664</v>
      </c>
      <c r="M937">
        <v>935</v>
      </c>
      <c r="N937">
        <f t="shared" si="61"/>
        <v>0</v>
      </c>
      <c r="O937">
        <f ca="1">SUM($N$2:N937)/M937</f>
        <v>125.25931443536155</v>
      </c>
    </row>
    <row r="938" spans="1:15" x14ac:dyDescent="0.2">
      <c r="A938">
        <v>936</v>
      </c>
      <c r="B938" s="11">
        <f t="shared" si="58"/>
        <v>0</v>
      </c>
      <c r="C938">
        <f ca="1">SUM($B$2:B938)/A938</f>
        <v>122.94057405918355</v>
      </c>
      <c r="E938">
        <v>936</v>
      </c>
      <c r="F938" s="11">
        <f t="shared" si="59"/>
        <v>0</v>
      </c>
      <c r="G938">
        <f ca="1">SUM($F$2:F938)/E938</f>
        <v>125.12549038147762</v>
      </c>
      <c r="I938">
        <v>936</v>
      </c>
      <c r="J938">
        <f t="shared" si="60"/>
        <v>0</v>
      </c>
      <c r="K938">
        <f ca="1">SUM($J$2:J938)/I938</f>
        <v>122.94057405918355</v>
      </c>
      <c r="M938">
        <v>936</v>
      </c>
      <c r="N938">
        <f t="shared" si="61"/>
        <v>0</v>
      </c>
      <c r="O938">
        <f ca="1">SUM($N$2:N938)/M938</f>
        <v>125.12549038147762</v>
      </c>
    </row>
    <row r="939" spans="1:15" x14ac:dyDescent="0.2">
      <c r="A939">
        <v>937</v>
      </c>
      <c r="B939" s="11">
        <f t="shared" si="58"/>
        <v>0</v>
      </c>
      <c r="C939">
        <f ca="1">SUM($B$2:B939)/A939</f>
        <v>122.80936747000619</v>
      </c>
      <c r="E939">
        <v>937</v>
      </c>
      <c r="F939" s="11">
        <f t="shared" si="59"/>
        <v>0</v>
      </c>
      <c r="G939">
        <f ca="1">SUM($F$2:F939)/E939</f>
        <v>124.99195197125192</v>
      </c>
      <c r="I939">
        <v>937</v>
      </c>
      <c r="J939">
        <f t="shared" si="60"/>
        <v>0</v>
      </c>
      <c r="K939">
        <f ca="1">SUM($J$2:J939)/I939</f>
        <v>122.80936747000619</v>
      </c>
      <c r="M939">
        <v>937</v>
      </c>
      <c r="N939">
        <f t="shared" si="61"/>
        <v>0</v>
      </c>
      <c r="O939">
        <f ca="1">SUM($N$2:N939)/M939</f>
        <v>124.99195197125192</v>
      </c>
    </row>
    <row r="940" spans="1:15" x14ac:dyDescent="0.2">
      <c r="A940">
        <v>938</v>
      </c>
      <c r="B940" s="11">
        <f t="shared" si="58"/>
        <v>0</v>
      </c>
      <c r="C940">
        <f ca="1">SUM($B$2:B940)/A940</f>
        <v>122.67844063901471</v>
      </c>
      <c r="E940">
        <v>938</v>
      </c>
      <c r="F940" s="11">
        <f t="shared" si="59"/>
        <v>0</v>
      </c>
      <c r="G940">
        <f ca="1">SUM($F$2:F940)/E940</f>
        <v>124.85869829111199</v>
      </c>
      <c r="I940">
        <v>938</v>
      </c>
      <c r="J940">
        <f t="shared" si="60"/>
        <v>0</v>
      </c>
      <c r="K940">
        <f ca="1">SUM($J$2:J940)/I940</f>
        <v>122.67844063901471</v>
      </c>
      <c r="M940">
        <v>938</v>
      </c>
      <c r="N940">
        <f t="shared" si="61"/>
        <v>0</v>
      </c>
      <c r="O940">
        <f ca="1">SUM($N$2:N940)/M940</f>
        <v>124.85869829111199</v>
      </c>
    </row>
    <row r="941" spans="1:15" x14ac:dyDescent="0.2">
      <c r="A941">
        <v>939</v>
      </c>
      <c r="B941" s="11">
        <f t="shared" si="58"/>
        <v>0</v>
      </c>
      <c r="C941">
        <f ca="1">SUM($B$2:B941)/A941</f>
        <v>122.547792672413</v>
      </c>
      <c r="E941">
        <v>939</v>
      </c>
      <c r="F941" s="11">
        <f t="shared" si="59"/>
        <v>0</v>
      </c>
      <c r="G941">
        <f ca="1">SUM($F$2:F941)/E941</f>
        <v>124.72572843137705</v>
      </c>
      <c r="I941">
        <v>939</v>
      </c>
      <c r="J941">
        <f t="shared" si="60"/>
        <v>0</v>
      </c>
      <c r="K941">
        <f ca="1">SUM($J$2:J941)/I941</f>
        <v>122.547792672413</v>
      </c>
      <c r="M941">
        <v>939</v>
      </c>
      <c r="N941">
        <f t="shared" si="61"/>
        <v>0</v>
      </c>
      <c r="O941">
        <f ca="1">SUM($N$2:N941)/M941</f>
        <v>124.72572843137705</v>
      </c>
    </row>
    <row r="942" spans="1:15" x14ac:dyDescent="0.2">
      <c r="A942">
        <v>940</v>
      </c>
      <c r="B942" s="11">
        <f t="shared" si="58"/>
        <v>0</v>
      </c>
      <c r="C942">
        <f ca="1">SUM($B$2:B942)/A942</f>
        <v>122.4174226802083</v>
      </c>
      <c r="E942">
        <v>940</v>
      </c>
      <c r="F942" s="11">
        <f t="shared" si="59"/>
        <v>0</v>
      </c>
      <c r="G942">
        <f ca="1">SUM($F$2:F942)/E942</f>
        <v>124.59304148623728</v>
      </c>
      <c r="I942">
        <v>940</v>
      </c>
      <c r="J942">
        <f t="shared" si="60"/>
        <v>0</v>
      </c>
      <c r="K942">
        <f ca="1">SUM($J$2:J942)/I942</f>
        <v>122.4174226802083</v>
      </c>
      <c r="M942">
        <v>940</v>
      </c>
      <c r="N942">
        <f t="shared" si="61"/>
        <v>0</v>
      </c>
      <c r="O942">
        <f ca="1">SUM($N$2:N942)/M942</f>
        <v>124.59304148623728</v>
      </c>
    </row>
    <row r="943" spans="1:15" x14ac:dyDescent="0.2">
      <c r="A943">
        <v>941</v>
      </c>
      <c r="B943" s="11">
        <f t="shared" si="58"/>
        <v>0</v>
      </c>
      <c r="C943">
        <f ca="1">SUM($B$2:B943)/A943</f>
        <v>122.28732977619107</v>
      </c>
      <c r="E943">
        <v>941</v>
      </c>
      <c r="F943" s="11">
        <f t="shared" si="59"/>
        <v>0</v>
      </c>
      <c r="G943">
        <f ca="1">SUM($F$2:F943)/E943</f>
        <v>124.46063655373331</v>
      </c>
      <c r="I943">
        <v>941</v>
      </c>
      <c r="J943">
        <f t="shared" si="60"/>
        <v>0</v>
      </c>
      <c r="K943">
        <f ca="1">SUM($J$2:J943)/I943</f>
        <v>122.28732977619107</v>
      </c>
      <c r="M943">
        <v>941</v>
      </c>
      <c r="N943">
        <f t="shared" si="61"/>
        <v>0</v>
      </c>
      <c r="O943">
        <f ca="1">SUM($N$2:N943)/M943</f>
        <v>124.46063655373331</v>
      </c>
    </row>
    <row r="944" spans="1:15" x14ac:dyDescent="0.2">
      <c r="A944">
        <v>942</v>
      </c>
      <c r="B944" s="11">
        <f t="shared" si="58"/>
        <v>0</v>
      </c>
      <c r="C944">
        <f ca="1">SUM($B$2:B944)/A944</f>
        <v>122.15751307791487</v>
      </c>
      <c r="E944">
        <v>942</v>
      </c>
      <c r="F944" s="11">
        <f t="shared" si="59"/>
        <v>0</v>
      </c>
      <c r="G944">
        <f ca="1">SUM($F$2:F944)/E944</f>
        <v>124.32851273573571</v>
      </c>
      <c r="I944">
        <v>942</v>
      </c>
      <c r="J944">
        <f t="shared" si="60"/>
        <v>0</v>
      </c>
      <c r="K944">
        <f ca="1">SUM($J$2:J944)/I944</f>
        <v>122.15751307791487</v>
      </c>
      <c r="M944">
        <v>942</v>
      </c>
      <c r="N944">
        <f t="shared" si="61"/>
        <v>0</v>
      </c>
      <c r="O944">
        <f ca="1">SUM($N$2:N944)/M944</f>
        <v>124.32851273573571</v>
      </c>
    </row>
    <row r="945" spans="1:15" x14ac:dyDescent="0.2">
      <c r="A945">
        <v>943</v>
      </c>
      <c r="B945" s="11">
        <f t="shared" si="58"/>
        <v>0</v>
      </c>
      <c r="C945">
        <f ca="1">SUM($B$2:B945)/A945</f>
        <v>122.02797170667635</v>
      </c>
      <c r="E945">
        <v>943</v>
      </c>
      <c r="F945" s="11">
        <f t="shared" si="59"/>
        <v>0</v>
      </c>
      <c r="G945">
        <f ca="1">SUM($F$2:F945)/E945</f>
        <v>124.19666913792476</v>
      </c>
      <c r="I945">
        <v>943</v>
      </c>
      <c r="J945">
        <f t="shared" si="60"/>
        <v>0</v>
      </c>
      <c r="K945">
        <f ca="1">SUM($J$2:J945)/I945</f>
        <v>122.02797170667635</v>
      </c>
      <c r="M945">
        <v>943</v>
      </c>
      <c r="N945">
        <f t="shared" si="61"/>
        <v>0</v>
      </c>
      <c r="O945">
        <f ca="1">SUM($N$2:N945)/M945</f>
        <v>124.19666913792476</v>
      </c>
    </row>
    <row r="946" spans="1:15" x14ac:dyDescent="0.2">
      <c r="A946">
        <v>944</v>
      </c>
      <c r="B946" s="11">
        <f t="shared" si="58"/>
        <v>0</v>
      </c>
      <c r="C946">
        <f ca="1">SUM($B$2:B946)/A946</f>
        <v>121.89870478749556</v>
      </c>
      <c r="E946">
        <v>944</v>
      </c>
      <c r="F946" s="11">
        <f t="shared" si="59"/>
        <v>0</v>
      </c>
      <c r="G946">
        <f ca="1">SUM($F$2:F946)/E946</f>
        <v>124.06510486977018</v>
      </c>
      <c r="I946">
        <v>944</v>
      </c>
      <c r="J946">
        <f t="shared" si="60"/>
        <v>0</v>
      </c>
      <c r="K946">
        <f ca="1">SUM($J$2:J946)/I946</f>
        <v>121.89870478749556</v>
      </c>
      <c r="M946">
        <v>944</v>
      </c>
      <c r="N946">
        <f t="shared" si="61"/>
        <v>0</v>
      </c>
      <c r="O946">
        <f ca="1">SUM($N$2:N946)/M946</f>
        <v>124.06510486977018</v>
      </c>
    </row>
    <row r="947" spans="1:15" x14ac:dyDescent="0.2">
      <c r="A947">
        <v>945</v>
      </c>
      <c r="B947" s="11">
        <f t="shared" si="58"/>
        <v>0</v>
      </c>
      <c r="C947">
        <f ca="1">SUM($B$2:B947)/A947</f>
        <v>121.76971144909609</v>
      </c>
      <c r="E947">
        <v>945</v>
      </c>
      <c r="F947" s="11">
        <f t="shared" si="59"/>
        <v>0</v>
      </c>
      <c r="G947">
        <f ca="1">SUM($F$2:F947)/E947</f>
        <v>123.93381904451117</v>
      </c>
      <c r="I947">
        <v>945</v>
      </c>
      <c r="J947">
        <f t="shared" si="60"/>
        <v>0</v>
      </c>
      <c r="K947">
        <f ca="1">SUM($J$2:J947)/I947</f>
        <v>121.76971144909609</v>
      </c>
      <c r="M947">
        <v>945</v>
      </c>
      <c r="N947">
        <f t="shared" si="61"/>
        <v>0</v>
      </c>
      <c r="O947">
        <f ca="1">SUM($N$2:N947)/M947</f>
        <v>123.93381904451117</v>
      </c>
    </row>
    <row r="948" spans="1:15" x14ac:dyDescent="0.2">
      <c r="A948">
        <v>946</v>
      </c>
      <c r="B948" s="11">
        <f t="shared" si="58"/>
        <v>0</v>
      </c>
      <c r="C948">
        <f ca="1">SUM($B$2:B948)/A948</f>
        <v>121.64099082388563</v>
      </c>
      <c r="E948">
        <v>946</v>
      </c>
      <c r="F948" s="11">
        <f t="shared" si="59"/>
        <v>0</v>
      </c>
      <c r="G948">
        <f ca="1">SUM($F$2:F948)/E948</f>
        <v>123.80281077913641</v>
      </c>
      <c r="I948">
        <v>946</v>
      </c>
      <c r="J948">
        <f t="shared" si="60"/>
        <v>0</v>
      </c>
      <c r="K948">
        <f ca="1">SUM($J$2:J948)/I948</f>
        <v>121.64099082388563</v>
      </c>
      <c r="M948">
        <v>946</v>
      </c>
      <c r="N948">
        <f t="shared" si="61"/>
        <v>0</v>
      </c>
      <c r="O948">
        <f ca="1">SUM($N$2:N948)/M948</f>
        <v>123.80281077913641</v>
      </c>
    </row>
    <row r="949" spans="1:15" x14ac:dyDescent="0.2">
      <c r="A949">
        <v>947</v>
      </c>
      <c r="B949" s="11">
        <f t="shared" si="58"/>
        <v>0</v>
      </c>
      <c r="C949">
        <f ca="1">SUM($B$2:B949)/A949</f>
        <v>121.51254204793644</v>
      </c>
      <c r="E949">
        <v>947</v>
      </c>
      <c r="F949" s="11">
        <f t="shared" si="59"/>
        <v>0</v>
      </c>
      <c r="G949">
        <f ca="1">SUM($F$2:F949)/E949</f>
        <v>123.67207919436436</v>
      </c>
      <c r="I949">
        <v>947</v>
      </c>
      <c r="J949">
        <f t="shared" si="60"/>
        <v>0</v>
      </c>
      <c r="K949">
        <f ca="1">SUM($J$2:J949)/I949</f>
        <v>121.51254204793644</v>
      </c>
      <c r="M949">
        <v>947</v>
      </c>
      <c r="N949">
        <f t="shared" si="61"/>
        <v>0</v>
      </c>
      <c r="O949">
        <f ca="1">SUM($N$2:N949)/M949</f>
        <v>123.67207919436436</v>
      </c>
    </row>
    <row r="950" spans="1:15" x14ac:dyDescent="0.2">
      <c r="A950">
        <v>948</v>
      </c>
      <c r="B950" s="11">
        <f t="shared" si="58"/>
        <v>0</v>
      </c>
      <c r="C950">
        <f ca="1">SUM($B$2:B950)/A950</f>
        <v>121.38436426096604</v>
      </c>
      <c r="E950">
        <v>948</v>
      </c>
      <c r="F950" s="11">
        <f t="shared" si="59"/>
        <v>0</v>
      </c>
      <c r="G950">
        <f ca="1">SUM($F$2:F950)/E950</f>
        <v>123.54162341462347</v>
      </c>
      <c r="I950">
        <v>948</v>
      </c>
      <c r="J950">
        <f t="shared" si="60"/>
        <v>0</v>
      </c>
      <c r="K950">
        <f ca="1">SUM($J$2:J950)/I950</f>
        <v>121.38436426096604</v>
      </c>
      <c r="M950">
        <v>948</v>
      </c>
      <c r="N950">
        <f t="shared" si="61"/>
        <v>0</v>
      </c>
      <c r="O950">
        <f ca="1">SUM($N$2:N950)/M950</f>
        <v>123.54162341462347</v>
      </c>
    </row>
    <row r="951" spans="1:15" x14ac:dyDescent="0.2">
      <c r="A951">
        <v>949</v>
      </c>
      <c r="B951" s="11">
        <f t="shared" si="58"/>
        <v>0</v>
      </c>
      <c r="C951">
        <f ca="1">SUM($B$2:B951)/A951</f>
        <v>121.25645660631803</v>
      </c>
      <c r="E951">
        <v>949</v>
      </c>
      <c r="F951" s="11">
        <f t="shared" si="59"/>
        <v>0</v>
      </c>
      <c r="G951">
        <f ca="1">SUM($F$2:F951)/E951</f>
        <v>123.41144256803271</v>
      </c>
      <c r="I951">
        <v>949</v>
      </c>
      <c r="J951">
        <f t="shared" si="60"/>
        <v>0</v>
      </c>
      <c r="K951">
        <f ca="1">SUM($J$2:J951)/I951</f>
        <v>121.25645660631803</v>
      </c>
      <c r="M951">
        <v>949</v>
      </c>
      <c r="N951">
        <f t="shared" si="61"/>
        <v>0</v>
      </c>
      <c r="O951">
        <f ca="1">SUM($N$2:N951)/M951</f>
        <v>123.41144256803271</v>
      </c>
    </row>
    <row r="952" spans="1:15" x14ac:dyDescent="0.2">
      <c r="A952">
        <v>950</v>
      </c>
      <c r="B952" s="11">
        <f t="shared" si="58"/>
        <v>0</v>
      </c>
      <c r="C952">
        <f ca="1">SUM($B$2:B952)/A952</f>
        <v>121.12881823094295</v>
      </c>
      <c r="E952">
        <v>950</v>
      </c>
      <c r="F952" s="11">
        <f t="shared" si="59"/>
        <v>0</v>
      </c>
      <c r="G952">
        <f ca="1">SUM($F$2:F952)/E952</f>
        <v>123.28153578638215</v>
      </c>
      <c r="I952">
        <v>950</v>
      </c>
      <c r="J952">
        <f t="shared" si="60"/>
        <v>0</v>
      </c>
      <c r="K952">
        <f ca="1">SUM($J$2:J952)/I952</f>
        <v>121.12881823094295</v>
      </c>
      <c r="M952">
        <v>950</v>
      </c>
      <c r="N952">
        <f t="shared" si="61"/>
        <v>0</v>
      </c>
      <c r="O952">
        <f ca="1">SUM($N$2:N952)/M952</f>
        <v>123.28153578638215</v>
      </c>
    </row>
    <row r="953" spans="1:15" x14ac:dyDescent="0.2">
      <c r="A953">
        <v>951</v>
      </c>
      <c r="B953" s="11">
        <f t="shared" si="58"/>
        <v>0</v>
      </c>
      <c r="C953">
        <f ca="1">SUM($B$2:B953)/A953</f>
        <v>121.0014482853794</v>
      </c>
      <c r="E953">
        <v>951</v>
      </c>
      <c r="F953" s="11">
        <f t="shared" si="59"/>
        <v>0</v>
      </c>
      <c r="G953">
        <f ca="1">SUM($F$2:F953)/E953</f>
        <v>123.15190220511361</v>
      </c>
      <c r="I953">
        <v>951</v>
      </c>
      <c r="J953">
        <f t="shared" si="60"/>
        <v>0</v>
      </c>
      <c r="K953">
        <f ca="1">SUM($J$2:J953)/I953</f>
        <v>121.0014482853794</v>
      </c>
      <c r="M953">
        <v>951</v>
      </c>
      <c r="N953">
        <f t="shared" si="61"/>
        <v>0</v>
      </c>
      <c r="O953">
        <f ca="1">SUM($N$2:N953)/M953</f>
        <v>123.15190220511361</v>
      </c>
    </row>
    <row r="954" spans="1:15" x14ac:dyDescent="0.2">
      <c r="A954">
        <v>952</v>
      </c>
      <c r="B954" s="11">
        <f t="shared" si="58"/>
        <v>0</v>
      </c>
      <c r="C954">
        <f ca="1">SUM($B$2:B954)/A954</f>
        <v>120.87434592373509</v>
      </c>
      <c r="E954">
        <v>952</v>
      </c>
      <c r="F954" s="11">
        <f t="shared" si="59"/>
        <v>0</v>
      </c>
      <c r="G954">
        <f ca="1">SUM($F$2:F954)/E954</f>
        <v>123.02254096330152</v>
      </c>
      <c r="I954">
        <v>952</v>
      </c>
      <c r="J954">
        <f t="shared" si="60"/>
        <v>0</v>
      </c>
      <c r="K954">
        <f ca="1">SUM($J$2:J954)/I954</f>
        <v>120.87434592373509</v>
      </c>
      <c r="M954">
        <v>952</v>
      </c>
      <c r="N954">
        <f t="shared" si="61"/>
        <v>0</v>
      </c>
      <c r="O954">
        <f ca="1">SUM($N$2:N954)/M954</f>
        <v>123.02254096330152</v>
      </c>
    </row>
    <row r="955" spans="1:15" x14ac:dyDescent="0.2">
      <c r="A955">
        <v>953</v>
      </c>
      <c r="B955" s="11">
        <f t="shared" si="58"/>
        <v>0</v>
      </c>
      <c r="C955">
        <f ca="1">SUM($B$2:B955)/A955</f>
        <v>120.74751030366821</v>
      </c>
      <c r="E955">
        <v>953</v>
      </c>
      <c r="F955" s="11">
        <f t="shared" si="59"/>
        <v>0</v>
      </c>
      <c r="G955">
        <f ca="1">SUM($F$2:F955)/E955</f>
        <v>122.89345120363384</v>
      </c>
      <c r="I955">
        <v>953</v>
      </c>
      <c r="J955">
        <f t="shared" si="60"/>
        <v>0</v>
      </c>
      <c r="K955">
        <f ca="1">SUM($J$2:J955)/I955</f>
        <v>120.74751030366821</v>
      </c>
      <c r="M955">
        <v>953</v>
      </c>
      <c r="N955">
        <f t="shared" si="61"/>
        <v>0</v>
      </c>
      <c r="O955">
        <f ca="1">SUM($N$2:N955)/M955</f>
        <v>122.89345120363384</v>
      </c>
    </row>
    <row r="956" spans="1:15" x14ac:dyDescent="0.2">
      <c r="A956">
        <v>954</v>
      </c>
      <c r="B956" s="11">
        <f t="shared" si="58"/>
        <v>0</v>
      </c>
      <c r="C956">
        <f ca="1">SUM($B$2:B956)/A956</f>
        <v>120.62094058636876</v>
      </c>
      <c r="E956">
        <v>954</v>
      </c>
      <c r="F956" s="11">
        <f t="shared" si="59"/>
        <v>0</v>
      </c>
      <c r="G956">
        <f ca="1">SUM($F$2:F956)/E956</f>
        <v>122.76463207239313</v>
      </c>
      <c r="I956">
        <v>954</v>
      </c>
      <c r="J956">
        <f t="shared" si="60"/>
        <v>0</v>
      </c>
      <c r="K956">
        <f ca="1">SUM($J$2:J956)/I956</f>
        <v>120.62094058636876</v>
      </c>
      <c r="M956">
        <v>954</v>
      </c>
      <c r="N956">
        <f t="shared" si="61"/>
        <v>0</v>
      </c>
      <c r="O956">
        <f ca="1">SUM($N$2:N956)/M956</f>
        <v>122.76463207239313</v>
      </c>
    </row>
    <row r="957" spans="1:15" x14ac:dyDescent="0.2">
      <c r="A957">
        <v>955</v>
      </c>
      <c r="B957" s="11">
        <f t="shared" si="58"/>
        <v>0</v>
      </c>
      <c r="C957">
        <f ca="1">SUM($B$2:B957)/A957</f>
        <v>120.49463593654011</v>
      </c>
      <c r="E957">
        <v>955</v>
      </c>
      <c r="F957" s="11">
        <f t="shared" si="59"/>
        <v>0</v>
      </c>
      <c r="G957">
        <f ca="1">SUM($F$2:F957)/E957</f>
        <v>122.63608271943775</v>
      </c>
      <c r="I957">
        <v>955</v>
      </c>
      <c r="J957">
        <f t="shared" si="60"/>
        <v>0</v>
      </c>
      <c r="K957">
        <f ca="1">SUM($J$2:J957)/I957</f>
        <v>120.49463593654011</v>
      </c>
      <c r="M957">
        <v>955</v>
      </c>
      <c r="N957">
        <f t="shared" si="61"/>
        <v>0</v>
      </c>
      <c r="O957">
        <f ca="1">SUM($N$2:N957)/M957</f>
        <v>122.63608271943775</v>
      </c>
    </row>
    <row r="958" spans="1:15" x14ac:dyDescent="0.2">
      <c r="A958">
        <v>956</v>
      </c>
      <c r="B958" s="11">
        <f t="shared" si="58"/>
        <v>0</v>
      </c>
      <c r="C958">
        <f ca="1">SUM($B$2:B958)/A958</f>
        <v>120.36859552238055</v>
      </c>
      <c r="E958">
        <v>956</v>
      </c>
      <c r="F958" s="11">
        <f t="shared" si="59"/>
        <v>0</v>
      </c>
      <c r="G958">
        <f ca="1">SUM($F$2:F958)/E958</f>
        <v>122.50780229818311</v>
      </c>
      <c r="I958">
        <v>956</v>
      </c>
      <c r="J958">
        <f t="shared" si="60"/>
        <v>0</v>
      </c>
      <c r="K958">
        <f ca="1">SUM($J$2:J958)/I958</f>
        <v>120.36859552238055</v>
      </c>
      <c r="M958">
        <v>956</v>
      </c>
      <c r="N958">
        <f t="shared" si="61"/>
        <v>0</v>
      </c>
      <c r="O958">
        <f ca="1">SUM($N$2:N958)/M958</f>
        <v>122.50780229818311</v>
      </c>
    </row>
    <row r="959" spans="1:15" x14ac:dyDescent="0.2">
      <c r="A959">
        <v>957</v>
      </c>
      <c r="B959" s="11">
        <f t="shared" si="58"/>
        <v>0</v>
      </c>
      <c r="C959">
        <f ca="1">SUM($B$2:B959)/A959</f>
        <v>120.24281851556511</v>
      </c>
      <c r="E959">
        <v>957</v>
      </c>
      <c r="F959" s="11">
        <f t="shared" si="59"/>
        <v>0</v>
      </c>
      <c r="G959">
        <f ca="1">SUM($F$2:F959)/E959</f>
        <v>122.37978996558313</v>
      </c>
      <c r="I959">
        <v>957</v>
      </c>
      <c r="J959">
        <f t="shared" si="60"/>
        <v>0</v>
      </c>
      <c r="K959">
        <f ca="1">SUM($J$2:J959)/I959</f>
        <v>120.24281851556511</v>
      </c>
      <c r="M959">
        <v>957</v>
      </c>
      <c r="N959">
        <f t="shared" si="61"/>
        <v>0</v>
      </c>
      <c r="O959">
        <f ca="1">SUM($N$2:N959)/M959</f>
        <v>122.37978996558313</v>
      </c>
    </row>
    <row r="960" spans="1:15" x14ac:dyDescent="0.2">
      <c r="A960">
        <v>958</v>
      </c>
      <c r="B960" s="11">
        <f t="shared" si="58"/>
        <v>0</v>
      </c>
      <c r="C960">
        <f ca="1">SUM($B$2:B960)/A960</f>
        <v>120.11730409122735</v>
      </c>
      <c r="E960">
        <v>958</v>
      </c>
      <c r="F960" s="11">
        <f t="shared" si="59"/>
        <v>0</v>
      </c>
      <c r="G960">
        <f ca="1">SUM($F$2:F960)/E960</f>
        <v>122.25204488211175</v>
      </c>
      <c r="I960">
        <v>958</v>
      </c>
      <c r="J960">
        <f t="shared" si="60"/>
        <v>0</v>
      </c>
      <c r="K960">
        <f ca="1">SUM($J$2:J960)/I960</f>
        <v>120.11730409122735</v>
      </c>
      <c r="M960">
        <v>958</v>
      </c>
      <c r="N960">
        <f t="shared" si="61"/>
        <v>0</v>
      </c>
      <c r="O960">
        <f ca="1">SUM($N$2:N960)/M960</f>
        <v>122.25204488211175</v>
      </c>
    </row>
    <row r="961" spans="1:15" x14ac:dyDescent="0.2">
      <c r="A961">
        <v>959</v>
      </c>
      <c r="B961" s="11">
        <f t="shared" si="58"/>
        <v>0</v>
      </c>
      <c r="C961">
        <f ca="1">SUM($B$2:B961)/A961</f>
        <v>119.9920514279414</v>
      </c>
      <c r="E961">
        <v>959</v>
      </c>
      <c r="F961" s="11">
        <f t="shared" si="59"/>
        <v>0</v>
      </c>
      <c r="G961">
        <f ca="1">SUM($F$2:F961)/E961</f>
        <v>122.12456621174458</v>
      </c>
      <c r="I961">
        <v>959</v>
      </c>
      <c r="J961">
        <f t="shared" si="60"/>
        <v>0</v>
      </c>
      <c r="K961">
        <f ca="1">SUM($J$2:J961)/I961</f>
        <v>119.9920514279414</v>
      </c>
      <c r="M961">
        <v>959</v>
      </c>
      <c r="N961">
        <f t="shared" si="61"/>
        <v>0</v>
      </c>
      <c r="O961">
        <f ca="1">SUM($N$2:N961)/M961</f>
        <v>122.12456621174458</v>
      </c>
    </row>
    <row r="962" spans="1:15" x14ac:dyDescent="0.2">
      <c r="A962">
        <v>960</v>
      </c>
      <c r="B962" s="11">
        <f t="shared" si="58"/>
        <v>0</v>
      </c>
      <c r="C962">
        <f ca="1">SUM($B$2:B962)/A962</f>
        <v>119.86705970770396</v>
      </c>
      <c r="E962">
        <v>960</v>
      </c>
      <c r="F962" s="11">
        <f t="shared" si="59"/>
        <v>0</v>
      </c>
      <c r="G962">
        <f ca="1">SUM($F$2:F962)/E962</f>
        <v>121.99735312194068</v>
      </c>
      <c r="I962">
        <v>960</v>
      </c>
      <c r="J962">
        <f t="shared" si="60"/>
        <v>0</v>
      </c>
      <c r="K962">
        <f ca="1">SUM($J$2:J962)/I962</f>
        <v>119.86705970770396</v>
      </c>
      <c r="M962">
        <v>960</v>
      </c>
      <c r="N962">
        <f t="shared" si="61"/>
        <v>0</v>
      </c>
      <c r="O962">
        <f ca="1">SUM($N$2:N962)/M962</f>
        <v>121.99735312194068</v>
      </c>
    </row>
    <row r="963" spans="1:15" x14ac:dyDescent="0.2">
      <c r="A963">
        <v>961</v>
      </c>
      <c r="B963" s="11">
        <f t="shared" ref="B963:B1026" si="62">IF(ARCap-IF((A963-IF(A963/180&gt;1,ROUNDDOWN(A963/180,0)*180,0))/30&lt;=1,IF(200*15*BaseSpeed/60*(YellowConnects+WhiteMHConnects+WhiteOHConnects+HoJConnects+WindfuryConnects+SSConnects+IronfoeConnects)*(A963-180*ROUNDDOWN(A963/180,0))&gt;1200,1200,200*15*BaseSpeed/60*(YellowConnects+WhiteMHConnects+WhiteOHConnects+HoJConnects+WindfuryConnects+SSConnects+IronfoeConnects)*(A963-180*ROUNDDOWN(A963/180,0))),0)&lt;0,ARCap,IF((A963-IF(A963/180&gt;1,ROUNDDOWN(A962/180,0)*180,0))/30&lt;=1,IF(200*15*BaseSpeed/60*(YellowConnects+WhiteMHConnects+WhiteOHConnects+HoJConnects+WindfuryConnects+SSConnects+IronfoeConnects)*(A963-180*ROUNDDOWN(A963/180,0))&gt;1200,1200,200*15*BaseSpeed/60*(YellowConnects+WhiteMHConnects+WhiteOHConnects+HoJConnects+WindfuryConnects+SSConnects+IronfoeConnects)*(A963-180*ROUNDDOWN(A963/180,0))),0))</f>
        <v>0</v>
      </c>
      <c r="C963">
        <f ca="1">SUM($B$2:B963)/A963</f>
        <v>119.74232811591655</v>
      </c>
      <c r="E963">
        <v>961</v>
      </c>
      <c r="F963" s="11">
        <f t="shared" ref="F963:F1026" si="63">IF(ARCap-IF((A963-IF(A963/180&gt;1,ROUNDDOWN(A963/180,0)*180,0))/30&lt;=1,IF(200*15*BaseSpeed/60*(YellowConnects20+WhiteMHConnects20+WhiteOHConnects20+HoJConnects20+WindfuryConnects20+SSConnects20+IronfoeConnects20)*(A963-180*ROUNDDOWN(A963/180,0))&gt;1200,1200,200*15*BaseSpeed/60*(YellowConnects20+WhiteMHConnects20+WhiteOHConnects20+HoJConnects20+WindfuryConnects20+SSConnects20+IronfoeConnects20)*(A963-180*ROUNDDOWN(A963/180,0))),0)&lt;0,ARCap,IF((A963-IF(A963/180&gt;1,ROUNDDOWN(A963/180,0)*180,0))/30&lt;=1,IF(200*15*BaseSpeed/60*(YellowConnects20+WhiteMHConnects20+WhiteOHConnects20+HoJConnects20+WindfuryConnects20+SSConnects20+IronfoeConnects20)*(A963-180*ROUNDDOWN(A963/180,0))&gt;1200,1200,200*15*BaseSpeed/60*(YellowConnects20+WhiteMHConnects20+WhiteOHConnects20+HoJConnects20+WindfuryConnects20+SSConnects20+IronfoeConnects20)*(A963-180*ROUNDDOWN(A963/180,0))),0))</f>
        <v>0</v>
      </c>
      <c r="G963">
        <f ca="1">SUM($F$2:F963)/E963</f>
        <v>121.87040478362439</v>
      </c>
      <c r="I963">
        <v>961</v>
      </c>
      <c r="J963">
        <f t="shared" ref="J963:J1026" si="64">IF(ARCap-(B963+BRE)&lt;0,ARCap,B963+BRE)</f>
        <v>0</v>
      </c>
      <c r="K963">
        <f ca="1">SUM($J$2:J963)/I963</f>
        <v>119.74232811591655</v>
      </c>
      <c r="M963">
        <v>961</v>
      </c>
      <c r="N963">
        <f t="shared" ref="N963:N1026" si="65">IF(ARCap-(F963+BREArmorReduction20)&lt;0,ARCap,F963+BREArmorReduction20)</f>
        <v>0</v>
      </c>
      <c r="O963">
        <f ca="1">SUM($N$2:N963)/M963</f>
        <v>121.87040478362439</v>
      </c>
    </row>
    <row r="964" spans="1:15" x14ac:dyDescent="0.2">
      <c r="A964">
        <v>962</v>
      </c>
      <c r="B964" s="11">
        <f t="shared" si="62"/>
        <v>0</v>
      </c>
      <c r="C964">
        <f ca="1">SUM($B$2:B964)/A964</f>
        <v>119.61785584136778</v>
      </c>
      <c r="E964">
        <v>962</v>
      </c>
      <c r="F964" s="11">
        <f t="shared" si="63"/>
        <v>0</v>
      </c>
      <c r="G964">
        <f ca="1">SUM($F$2:F964)/E964</f>
        <v>121.74372037116741</v>
      </c>
      <c r="I964">
        <v>962</v>
      </c>
      <c r="J964">
        <f t="shared" si="64"/>
        <v>0</v>
      </c>
      <c r="K964">
        <f ca="1">SUM($J$2:J964)/I964</f>
        <v>119.61785584136778</v>
      </c>
      <c r="M964">
        <v>962</v>
      </c>
      <c r="N964">
        <f t="shared" si="65"/>
        <v>0</v>
      </c>
      <c r="O964">
        <f ca="1">SUM($N$2:N964)/M964</f>
        <v>121.74372037116741</v>
      </c>
    </row>
    <row r="965" spans="1:15" x14ac:dyDescent="0.2">
      <c r="A965">
        <v>963</v>
      </c>
      <c r="B965" s="11">
        <f t="shared" si="62"/>
        <v>0</v>
      </c>
      <c r="C965">
        <f ca="1">SUM($B$2:B965)/A965</f>
        <v>119.49364207621579</v>
      </c>
      <c r="E965">
        <v>963</v>
      </c>
      <c r="F965" s="11">
        <f t="shared" si="63"/>
        <v>0</v>
      </c>
      <c r="G965">
        <f ca="1">SUM($F$2:F965)/E965</f>
        <v>121.61729906237076</v>
      </c>
      <c r="I965">
        <v>963</v>
      </c>
      <c r="J965">
        <f t="shared" si="64"/>
        <v>0</v>
      </c>
      <c r="K965">
        <f ca="1">SUM($J$2:J965)/I965</f>
        <v>119.49364207621579</v>
      </c>
      <c r="M965">
        <v>963</v>
      </c>
      <c r="N965">
        <f t="shared" si="65"/>
        <v>0</v>
      </c>
      <c r="O965">
        <f ca="1">SUM($N$2:N965)/M965</f>
        <v>121.61729906237076</v>
      </c>
    </row>
    <row r="966" spans="1:15" x14ac:dyDescent="0.2">
      <c r="A966">
        <v>964</v>
      </c>
      <c r="B966" s="11">
        <f t="shared" si="62"/>
        <v>0</v>
      </c>
      <c r="C966">
        <f ca="1">SUM($B$2:B966)/A966</f>
        <v>119.36968601597076</v>
      </c>
      <c r="E966">
        <v>964</v>
      </c>
      <c r="F966" s="11">
        <f t="shared" si="63"/>
        <v>0</v>
      </c>
      <c r="G966">
        <f ca="1">SUM($F$2:F966)/E966</f>
        <v>121.49114003844714</v>
      </c>
      <c r="I966">
        <v>964</v>
      </c>
      <c r="J966">
        <f t="shared" si="64"/>
        <v>0</v>
      </c>
      <c r="K966">
        <f ca="1">SUM($J$2:J966)/I966</f>
        <v>119.36968601597076</v>
      </c>
      <c r="M966">
        <v>964</v>
      </c>
      <c r="N966">
        <f t="shared" si="65"/>
        <v>0</v>
      </c>
      <c r="O966">
        <f ca="1">SUM($N$2:N966)/M966</f>
        <v>121.49114003844714</v>
      </c>
    </row>
    <row r="967" spans="1:15" x14ac:dyDescent="0.2">
      <c r="A967">
        <v>965</v>
      </c>
      <c r="B967" s="11">
        <f t="shared" si="62"/>
        <v>0</v>
      </c>
      <c r="C967">
        <f ca="1">SUM($B$2:B967)/A967</f>
        <v>119.24598685947751</v>
      </c>
      <c r="E967">
        <v>965</v>
      </c>
      <c r="F967" s="11">
        <f t="shared" si="63"/>
        <v>0</v>
      </c>
      <c r="G967">
        <f ca="1">SUM($F$2:F967)/E967</f>
        <v>121.36524248400316</v>
      </c>
      <c r="I967">
        <v>965</v>
      </c>
      <c r="J967">
        <f t="shared" si="64"/>
        <v>0</v>
      </c>
      <c r="K967">
        <f ca="1">SUM($J$2:J967)/I967</f>
        <v>119.24598685947751</v>
      </c>
      <c r="M967">
        <v>965</v>
      </c>
      <c r="N967">
        <f t="shared" si="65"/>
        <v>0</v>
      </c>
      <c r="O967">
        <f ca="1">SUM($N$2:N967)/M967</f>
        <v>121.36524248400316</v>
      </c>
    </row>
    <row r="968" spans="1:15" x14ac:dyDescent="0.2">
      <c r="A968">
        <v>966</v>
      </c>
      <c r="B968" s="11">
        <f t="shared" si="62"/>
        <v>0</v>
      </c>
      <c r="C968">
        <f ca="1">SUM($B$2:B968)/A968</f>
        <v>119.12254380889834</v>
      </c>
      <c r="E968">
        <v>966</v>
      </c>
      <c r="F968" s="11">
        <f t="shared" si="63"/>
        <v>0</v>
      </c>
      <c r="G968">
        <f ca="1">SUM($F$2:F968)/E968</f>
        <v>121.23960558702179</v>
      </c>
      <c r="I968">
        <v>966</v>
      </c>
      <c r="J968">
        <f t="shared" si="64"/>
        <v>0</v>
      </c>
      <c r="K968">
        <f ca="1">SUM($J$2:J968)/I968</f>
        <v>119.12254380889834</v>
      </c>
      <c r="M968">
        <v>966</v>
      </c>
      <c r="N968">
        <f t="shared" si="65"/>
        <v>0</v>
      </c>
      <c r="O968">
        <f ca="1">SUM($N$2:N968)/M968</f>
        <v>121.23960558702179</v>
      </c>
    </row>
    <row r="969" spans="1:15" x14ac:dyDescent="0.2">
      <c r="A969">
        <v>967</v>
      </c>
      <c r="B969" s="11">
        <f t="shared" si="62"/>
        <v>0</v>
      </c>
      <c r="C969">
        <f ca="1">SUM($B$2:B969)/A969</f>
        <v>118.99935606969576</v>
      </c>
      <c r="E969">
        <v>967</v>
      </c>
      <c r="F969" s="11">
        <f t="shared" si="63"/>
        <v>0</v>
      </c>
      <c r="G969">
        <f ca="1">SUM($F$2:F969)/E969</f>
        <v>121.11422853884493</v>
      </c>
      <c r="I969">
        <v>967</v>
      </c>
      <c r="J969">
        <f t="shared" si="64"/>
        <v>0</v>
      </c>
      <c r="K969">
        <f ca="1">SUM($J$2:J969)/I969</f>
        <v>118.99935606969576</v>
      </c>
      <c r="M969">
        <v>967</v>
      </c>
      <c r="N969">
        <f t="shared" si="65"/>
        <v>0</v>
      </c>
      <c r="O969">
        <f ca="1">SUM($N$2:N969)/M969</f>
        <v>121.11422853884493</v>
      </c>
    </row>
    <row r="970" spans="1:15" x14ac:dyDescent="0.2">
      <c r="A970">
        <v>968</v>
      </c>
      <c r="B970" s="11">
        <f t="shared" si="62"/>
        <v>0</v>
      </c>
      <c r="C970">
        <f ca="1">SUM($B$2:B970)/A970</f>
        <v>118.8764228506155</v>
      </c>
      <c r="E970">
        <v>968</v>
      </c>
      <c r="F970" s="11">
        <f t="shared" si="63"/>
        <v>0</v>
      </c>
      <c r="G970">
        <f ca="1">SUM($F$2:F970)/E970</f>
        <v>120.98911053415604</v>
      </c>
      <c r="I970">
        <v>968</v>
      </c>
      <c r="J970">
        <f t="shared" si="64"/>
        <v>0</v>
      </c>
      <c r="K970">
        <f ca="1">SUM($J$2:J970)/I970</f>
        <v>118.8764228506155</v>
      </c>
      <c r="M970">
        <v>968</v>
      </c>
      <c r="N970">
        <f t="shared" si="65"/>
        <v>0</v>
      </c>
      <c r="O970">
        <f ca="1">SUM($N$2:N970)/M970</f>
        <v>120.98911053415604</v>
      </c>
    </row>
    <row r="971" spans="1:15" x14ac:dyDescent="0.2">
      <c r="A971">
        <v>969</v>
      </c>
      <c r="B971" s="11">
        <f t="shared" si="62"/>
        <v>0</v>
      </c>
      <c r="C971">
        <f ca="1">SUM($B$2:B971)/A971</f>
        <v>118.75374336366956</v>
      </c>
      <c r="E971">
        <v>969</v>
      </c>
      <c r="F971" s="11">
        <f t="shared" si="63"/>
        <v>0</v>
      </c>
      <c r="G971">
        <f ca="1">SUM($F$2:F971)/E971</f>
        <v>120.8642507709629</v>
      </c>
      <c r="I971">
        <v>969</v>
      </c>
      <c r="J971">
        <f t="shared" si="64"/>
        <v>0</v>
      </c>
      <c r="K971">
        <f ca="1">SUM($J$2:J971)/I971</f>
        <v>118.75374336366956</v>
      </c>
      <c r="M971">
        <v>969</v>
      </c>
      <c r="N971">
        <f t="shared" si="65"/>
        <v>0</v>
      </c>
      <c r="O971">
        <f ca="1">SUM($N$2:N971)/M971</f>
        <v>120.8642507709629</v>
      </c>
    </row>
    <row r="972" spans="1:15" x14ac:dyDescent="0.2">
      <c r="A972">
        <v>970</v>
      </c>
      <c r="B972" s="11">
        <f t="shared" si="62"/>
        <v>0</v>
      </c>
      <c r="C972">
        <f ca="1">SUM($B$2:B972)/A972</f>
        <v>118.63131682411938</v>
      </c>
      <c r="E972">
        <v>970</v>
      </c>
      <c r="F972" s="11">
        <f t="shared" si="63"/>
        <v>0</v>
      </c>
      <c r="G972">
        <f ca="1">SUM($F$2:F972)/E972</f>
        <v>120.73964845058046</v>
      </c>
      <c r="I972">
        <v>970</v>
      </c>
      <c r="J972">
        <f t="shared" si="64"/>
        <v>0</v>
      </c>
      <c r="K972">
        <f ca="1">SUM($J$2:J972)/I972</f>
        <v>118.63131682411938</v>
      </c>
      <c r="M972">
        <v>970</v>
      </c>
      <c r="N972">
        <f t="shared" si="65"/>
        <v>0</v>
      </c>
      <c r="O972">
        <f ca="1">SUM($N$2:N972)/M972</f>
        <v>120.73964845058046</v>
      </c>
    </row>
    <row r="973" spans="1:15" x14ac:dyDescent="0.2">
      <c r="A973">
        <v>971</v>
      </c>
      <c r="B973" s="11">
        <f t="shared" si="62"/>
        <v>0</v>
      </c>
      <c r="C973">
        <f ca="1">SUM($B$2:B973)/A973</f>
        <v>118.50914245045912</v>
      </c>
      <c r="E973">
        <v>971</v>
      </c>
      <c r="F973" s="11">
        <f t="shared" si="63"/>
        <v>0</v>
      </c>
      <c r="G973">
        <f ca="1">SUM($F$2:F973)/E973</f>
        <v>120.61530277761385</v>
      </c>
      <c r="I973">
        <v>971</v>
      </c>
      <c r="J973">
        <f t="shared" si="64"/>
        <v>0</v>
      </c>
      <c r="K973">
        <f ca="1">SUM($J$2:J973)/I973</f>
        <v>118.50914245045912</v>
      </c>
      <c r="M973">
        <v>971</v>
      </c>
      <c r="N973">
        <f t="shared" si="65"/>
        <v>0</v>
      </c>
      <c r="O973">
        <f ca="1">SUM($N$2:N973)/M973</f>
        <v>120.61530277761385</v>
      </c>
    </row>
    <row r="974" spans="1:15" x14ac:dyDescent="0.2">
      <c r="A974">
        <v>972</v>
      </c>
      <c r="B974" s="11">
        <f t="shared" si="62"/>
        <v>0</v>
      </c>
      <c r="C974">
        <f ca="1">SUM($B$2:B974)/A974</f>
        <v>118.38721946439898</v>
      </c>
      <c r="E974">
        <v>972</v>
      </c>
      <c r="F974" s="11">
        <f t="shared" si="63"/>
        <v>0</v>
      </c>
      <c r="G974">
        <f ca="1">SUM($F$2:F974)/E974</f>
        <v>120.49121295994141</v>
      </c>
      <c r="I974">
        <v>972</v>
      </c>
      <c r="J974">
        <f t="shared" si="64"/>
        <v>0</v>
      </c>
      <c r="K974">
        <f ca="1">SUM($J$2:J974)/I974</f>
        <v>118.38721946439898</v>
      </c>
      <c r="M974">
        <v>972</v>
      </c>
      <c r="N974">
        <f t="shared" si="65"/>
        <v>0</v>
      </c>
      <c r="O974">
        <f ca="1">SUM($N$2:N974)/M974</f>
        <v>120.49121295994141</v>
      </c>
    </row>
    <row r="975" spans="1:15" x14ac:dyDescent="0.2">
      <c r="A975">
        <v>973</v>
      </c>
      <c r="B975" s="11">
        <f t="shared" si="62"/>
        <v>0</v>
      </c>
      <c r="C975">
        <f ca="1">SUM($B$2:B975)/A975</f>
        <v>118.26554709084871</v>
      </c>
      <c r="E975">
        <v>973</v>
      </c>
      <c r="F975" s="11">
        <f t="shared" si="63"/>
        <v>0</v>
      </c>
      <c r="G975">
        <f ca="1">SUM($F$2:F975)/E975</f>
        <v>120.36737820869789</v>
      </c>
      <c r="I975">
        <v>973</v>
      </c>
      <c r="J975">
        <f t="shared" si="64"/>
        <v>0</v>
      </c>
      <c r="K975">
        <f ca="1">SUM($J$2:J975)/I975</f>
        <v>118.26554709084871</v>
      </c>
      <c r="M975">
        <v>973</v>
      </c>
      <c r="N975">
        <f t="shared" si="65"/>
        <v>0</v>
      </c>
      <c r="O975">
        <f ca="1">SUM($N$2:N975)/M975</f>
        <v>120.36737820869789</v>
      </c>
    </row>
    <row r="976" spans="1:15" x14ac:dyDescent="0.2">
      <c r="A976">
        <v>974</v>
      </c>
      <c r="B976" s="11">
        <f t="shared" si="62"/>
        <v>0</v>
      </c>
      <c r="C976">
        <f ca="1">SUM($B$2:B976)/A976</f>
        <v>118.14412455790124</v>
      </c>
      <c r="E976">
        <v>974</v>
      </c>
      <c r="F976" s="11">
        <f t="shared" si="63"/>
        <v>0</v>
      </c>
      <c r="G976">
        <f ca="1">SUM($F$2:F976)/E976</f>
        <v>120.24379773825775</v>
      </c>
      <c r="I976">
        <v>974</v>
      </c>
      <c r="J976">
        <f t="shared" si="64"/>
        <v>0</v>
      </c>
      <c r="K976">
        <f ca="1">SUM($J$2:J976)/I976</f>
        <v>118.14412455790124</v>
      </c>
      <c r="M976">
        <v>974</v>
      </c>
      <c r="N976">
        <f t="shared" si="65"/>
        <v>0</v>
      </c>
      <c r="O976">
        <f ca="1">SUM($N$2:N976)/M976</f>
        <v>120.24379773825775</v>
      </c>
    </row>
    <row r="977" spans="1:15" x14ac:dyDescent="0.2">
      <c r="A977">
        <v>975</v>
      </c>
      <c r="B977" s="11">
        <f t="shared" si="62"/>
        <v>0</v>
      </c>
      <c r="C977">
        <f ca="1">SUM($B$2:B977)/A977</f>
        <v>118.02295109681621</v>
      </c>
      <c r="E977">
        <v>975</v>
      </c>
      <c r="F977" s="11">
        <f t="shared" si="63"/>
        <v>0</v>
      </c>
      <c r="G977">
        <f ca="1">SUM($F$2:F977)/E977</f>
        <v>120.12047076621852</v>
      </c>
      <c r="I977">
        <v>975</v>
      </c>
      <c r="J977">
        <f t="shared" si="64"/>
        <v>0</v>
      </c>
      <c r="K977">
        <f ca="1">SUM($J$2:J977)/I977</f>
        <v>118.02295109681621</v>
      </c>
      <c r="M977">
        <v>975</v>
      </c>
      <c r="N977">
        <f t="shared" si="65"/>
        <v>0</v>
      </c>
      <c r="O977">
        <f ca="1">SUM($N$2:N977)/M977</f>
        <v>120.12047076621852</v>
      </c>
    </row>
    <row r="978" spans="1:15" x14ac:dyDescent="0.2">
      <c r="A978">
        <v>976</v>
      </c>
      <c r="B978" s="11">
        <f t="shared" si="62"/>
        <v>0</v>
      </c>
      <c r="C978">
        <f ca="1">SUM($B$2:B978)/A978</f>
        <v>117.9020259420039</v>
      </c>
      <c r="E978">
        <v>976</v>
      </c>
      <c r="F978" s="11">
        <f t="shared" si="63"/>
        <v>0</v>
      </c>
      <c r="G978">
        <f ca="1">SUM($F$2:F978)/E978</f>
        <v>119.99739651338427</v>
      </c>
      <c r="I978">
        <v>976</v>
      </c>
      <c r="J978">
        <f t="shared" si="64"/>
        <v>0</v>
      </c>
      <c r="K978">
        <f ca="1">SUM($J$2:J978)/I978</f>
        <v>117.9020259420039</v>
      </c>
      <c r="M978">
        <v>976</v>
      </c>
      <c r="N978">
        <f t="shared" si="65"/>
        <v>0</v>
      </c>
      <c r="O978">
        <f ca="1">SUM($N$2:N978)/M978</f>
        <v>119.99739651338427</v>
      </c>
    </row>
    <row r="979" spans="1:15" x14ac:dyDescent="0.2">
      <c r="A979">
        <v>977</v>
      </c>
      <c r="B979" s="11">
        <f t="shared" si="62"/>
        <v>0</v>
      </c>
      <c r="C979">
        <f ca="1">SUM($B$2:B979)/A979</f>
        <v>117.78134833100901</v>
      </c>
      <c r="E979">
        <v>977</v>
      </c>
      <c r="F979" s="11">
        <f t="shared" si="63"/>
        <v>0</v>
      </c>
      <c r="G979">
        <f ca="1">SUM($F$2:F979)/E979</f>
        <v>119.87457420374928</v>
      </c>
      <c r="I979">
        <v>977</v>
      </c>
      <c r="J979">
        <f t="shared" si="64"/>
        <v>0</v>
      </c>
      <c r="K979">
        <f ca="1">SUM($J$2:J979)/I979</f>
        <v>117.78134833100901</v>
      </c>
      <c r="M979">
        <v>977</v>
      </c>
      <c r="N979">
        <f t="shared" si="65"/>
        <v>0</v>
      </c>
      <c r="O979">
        <f ca="1">SUM($N$2:N979)/M979</f>
        <v>119.87457420374928</v>
      </c>
    </row>
    <row r="980" spans="1:15" x14ac:dyDescent="0.2">
      <c r="A980">
        <v>978</v>
      </c>
      <c r="B980" s="11">
        <f t="shared" si="62"/>
        <v>0</v>
      </c>
      <c r="C980">
        <f ca="1">SUM($B$2:B980)/A980</f>
        <v>117.66091750449469</v>
      </c>
      <c r="E980">
        <v>978</v>
      </c>
      <c r="F980" s="11">
        <f t="shared" si="63"/>
        <v>0</v>
      </c>
      <c r="G980">
        <f ca="1">SUM($F$2:F980)/E980</f>
        <v>119.75200306448164</v>
      </c>
      <c r="I980">
        <v>978</v>
      </c>
      <c r="J980">
        <f t="shared" si="64"/>
        <v>0</v>
      </c>
      <c r="K980">
        <f ca="1">SUM($J$2:J980)/I980</f>
        <v>117.66091750449469</v>
      </c>
      <c r="M980">
        <v>978</v>
      </c>
      <c r="N980">
        <f t="shared" si="65"/>
        <v>0</v>
      </c>
      <c r="O980">
        <f ca="1">SUM($N$2:N980)/M980</f>
        <v>119.75200306448164</v>
      </c>
    </row>
    <row r="981" spans="1:15" x14ac:dyDescent="0.2">
      <c r="A981">
        <v>979</v>
      </c>
      <c r="B981" s="11">
        <f t="shared" si="62"/>
        <v>0</v>
      </c>
      <c r="C981">
        <f ca="1">SUM($B$2:B981)/A981</f>
        <v>117.54073270622656</v>
      </c>
      <c r="E981">
        <v>979</v>
      </c>
      <c r="F981" s="11">
        <f t="shared" si="63"/>
        <v>0</v>
      </c>
      <c r="G981">
        <f ca="1">SUM($F$2:F981)/E981</f>
        <v>119.6296823259071</v>
      </c>
      <c r="I981">
        <v>979</v>
      </c>
      <c r="J981">
        <f t="shared" si="64"/>
        <v>0</v>
      </c>
      <c r="K981">
        <f ca="1">SUM($J$2:J981)/I981</f>
        <v>117.54073270622656</v>
      </c>
      <c r="M981">
        <v>979</v>
      </c>
      <c r="N981">
        <f t="shared" si="65"/>
        <v>0</v>
      </c>
      <c r="O981">
        <f ca="1">SUM($N$2:N981)/M981</f>
        <v>119.6296823259071</v>
      </c>
    </row>
    <row r="982" spans="1:15" x14ac:dyDescent="0.2">
      <c r="A982">
        <v>980</v>
      </c>
      <c r="B982" s="11">
        <f t="shared" si="62"/>
        <v>0</v>
      </c>
      <c r="C982">
        <f ca="1">SUM($B$2:B982)/A982</f>
        <v>117.42079318305694</v>
      </c>
      <c r="E982">
        <v>980</v>
      </c>
      <c r="F982" s="11">
        <f t="shared" si="63"/>
        <v>0</v>
      </c>
      <c r="G982">
        <f ca="1">SUM($F$2:F982)/E982</f>
        <v>119.50761122149291</v>
      </c>
      <c r="I982">
        <v>980</v>
      </c>
      <c r="J982">
        <f t="shared" si="64"/>
        <v>0</v>
      </c>
      <c r="K982">
        <f ca="1">SUM($J$2:J982)/I982</f>
        <v>117.42079318305694</v>
      </c>
      <c r="M982">
        <v>980</v>
      </c>
      <c r="N982">
        <f t="shared" si="65"/>
        <v>0</v>
      </c>
      <c r="O982">
        <f ca="1">SUM($N$2:N982)/M982</f>
        <v>119.50761122149291</v>
      </c>
    </row>
    <row r="983" spans="1:15" x14ac:dyDescent="0.2">
      <c r="A983">
        <v>981</v>
      </c>
      <c r="B983" s="11">
        <f t="shared" si="62"/>
        <v>0</v>
      </c>
      <c r="C983">
        <f ca="1">SUM($B$2:B983)/A983</f>
        <v>117.30109818490908</v>
      </c>
      <c r="E983">
        <v>981</v>
      </c>
      <c r="F983" s="11">
        <f t="shared" si="63"/>
        <v>0</v>
      </c>
      <c r="G983">
        <f ca="1">SUM($F$2:F983)/E983</f>
        <v>119.38578898783186</v>
      </c>
      <c r="I983">
        <v>981</v>
      </c>
      <c r="J983">
        <f t="shared" si="64"/>
        <v>0</v>
      </c>
      <c r="K983">
        <f ca="1">SUM($J$2:J983)/I983</f>
        <v>117.30109818490908</v>
      </c>
      <c r="M983">
        <v>981</v>
      </c>
      <c r="N983">
        <f t="shared" si="65"/>
        <v>0</v>
      </c>
      <c r="O983">
        <f ca="1">SUM($N$2:N983)/M983</f>
        <v>119.38578898783186</v>
      </c>
    </row>
    <row r="984" spans="1:15" x14ac:dyDescent="0.2">
      <c r="A984">
        <v>982</v>
      </c>
      <c r="B984" s="11">
        <f t="shared" si="62"/>
        <v>0</v>
      </c>
      <c r="C984">
        <f ca="1">SUM($B$2:B984)/A984</f>
        <v>117.18164696476151</v>
      </c>
      <c r="E984">
        <v>982</v>
      </c>
      <c r="F984" s="11">
        <f t="shared" si="63"/>
        <v>0</v>
      </c>
      <c r="G984">
        <f ca="1">SUM($F$2:F984)/E984</f>
        <v>119.26421486462633</v>
      </c>
      <c r="I984">
        <v>982</v>
      </c>
      <c r="J984">
        <f t="shared" si="64"/>
        <v>0</v>
      </c>
      <c r="K984">
        <f ca="1">SUM($J$2:J984)/I984</f>
        <v>117.18164696476151</v>
      </c>
      <c r="M984">
        <v>982</v>
      </c>
      <c r="N984">
        <f t="shared" si="65"/>
        <v>0</v>
      </c>
      <c r="O984">
        <f ca="1">SUM($N$2:N984)/M984</f>
        <v>119.26421486462633</v>
      </c>
    </row>
    <row r="985" spans="1:15" x14ac:dyDescent="0.2">
      <c r="A985">
        <v>983</v>
      </c>
      <c r="B985" s="11">
        <f t="shared" si="62"/>
        <v>0</v>
      </c>
      <c r="C985">
        <f ca="1">SUM($B$2:B985)/A985</f>
        <v>117.06243877863255</v>
      </c>
      <c r="E985">
        <v>983</v>
      </c>
      <c r="F985" s="11">
        <f t="shared" si="63"/>
        <v>0</v>
      </c>
      <c r="G985">
        <f ca="1">SUM($F$2:F985)/E985</f>
        <v>119.14288809467249</v>
      </c>
      <c r="I985">
        <v>983</v>
      </c>
      <c r="J985">
        <f t="shared" si="64"/>
        <v>0</v>
      </c>
      <c r="K985">
        <f ca="1">SUM($J$2:J985)/I985</f>
        <v>117.06243877863255</v>
      </c>
      <c r="M985">
        <v>983</v>
      </c>
      <c r="N985">
        <f t="shared" si="65"/>
        <v>0</v>
      </c>
      <c r="O985">
        <f ca="1">SUM($N$2:N985)/M985</f>
        <v>119.14288809467249</v>
      </c>
    </row>
    <row r="986" spans="1:15" x14ac:dyDescent="0.2">
      <c r="A986">
        <v>984</v>
      </c>
      <c r="B986" s="11">
        <f t="shared" si="62"/>
        <v>0</v>
      </c>
      <c r="C986">
        <f ca="1">SUM($B$2:B986)/A986</f>
        <v>116.94347288556484</v>
      </c>
      <c r="E986">
        <v>984</v>
      </c>
      <c r="F986" s="11">
        <f t="shared" si="63"/>
        <v>0</v>
      </c>
      <c r="G986">
        <f ca="1">SUM($F$2:F986)/E986</f>
        <v>119.02180792384456</v>
      </c>
      <c r="I986">
        <v>984</v>
      </c>
      <c r="J986">
        <f t="shared" si="64"/>
        <v>0</v>
      </c>
      <c r="K986">
        <f ca="1">SUM($J$2:J986)/I986</f>
        <v>116.94347288556484</v>
      </c>
      <c r="M986">
        <v>984</v>
      </c>
      <c r="N986">
        <f t="shared" si="65"/>
        <v>0</v>
      </c>
      <c r="O986">
        <f ca="1">SUM($N$2:N986)/M986</f>
        <v>119.02180792384456</v>
      </c>
    </row>
    <row r="987" spans="1:15" x14ac:dyDescent="0.2">
      <c r="A987">
        <v>985</v>
      </c>
      <c r="B987" s="11">
        <f t="shared" si="62"/>
        <v>0</v>
      </c>
      <c r="C987">
        <f ca="1">SUM($B$2:B987)/A987</f>
        <v>116.82474854760996</v>
      </c>
      <c r="E987">
        <v>985</v>
      </c>
      <c r="F987" s="11">
        <f t="shared" si="63"/>
        <v>0</v>
      </c>
      <c r="G987">
        <f ca="1">SUM($F$2:F987)/E987</f>
        <v>118.90097360107923</v>
      </c>
      <c r="I987">
        <v>985</v>
      </c>
      <c r="J987">
        <f t="shared" si="64"/>
        <v>0</v>
      </c>
      <c r="K987">
        <f ca="1">SUM($J$2:J987)/I987</f>
        <v>116.82474854760996</v>
      </c>
      <c r="M987">
        <v>985</v>
      </c>
      <c r="N987">
        <f t="shared" si="65"/>
        <v>0</v>
      </c>
      <c r="O987">
        <f ca="1">SUM($N$2:N987)/M987</f>
        <v>118.90097360107923</v>
      </c>
    </row>
    <row r="988" spans="1:15" x14ac:dyDescent="0.2">
      <c r="A988">
        <v>986</v>
      </c>
      <c r="B988" s="11">
        <f t="shared" si="62"/>
        <v>0</v>
      </c>
      <c r="C988">
        <f ca="1">SUM($B$2:B988)/A988</f>
        <v>116.7062650298132</v>
      </c>
      <c r="E988">
        <v>986</v>
      </c>
      <c r="F988" s="11">
        <f t="shared" si="63"/>
        <v>0</v>
      </c>
      <c r="G988">
        <f ca="1">SUM($F$2:F988)/E988</f>
        <v>118.78038437836008</v>
      </c>
      <c r="I988">
        <v>986</v>
      </c>
      <c r="J988">
        <f t="shared" si="64"/>
        <v>0</v>
      </c>
      <c r="K988">
        <f ca="1">SUM($J$2:J988)/I988</f>
        <v>116.7062650298132</v>
      </c>
      <c r="M988">
        <v>986</v>
      </c>
      <c r="N988">
        <f t="shared" si="65"/>
        <v>0</v>
      </c>
      <c r="O988">
        <f ca="1">SUM($N$2:N988)/M988</f>
        <v>118.78038437836008</v>
      </c>
    </row>
    <row r="989" spans="1:15" x14ac:dyDescent="0.2">
      <c r="A989">
        <v>987</v>
      </c>
      <c r="B989" s="11">
        <f t="shared" si="62"/>
        <v>0</v>
      </c>
      <c r="C989">
        <f ca="1">SUM($B$2:B989)/A989</f>
        <v>116.58802160019839</v>
      </c>
      <c r="E989">
        <v>987</v>
      </c>
      <c r="F989" s="11">
        <f t="shared" si="63"/>
        <v>0</v>
      </c>
      <c r="G989">
        <f ca="1">SUM($F$2:F989)/E989</f>
        <v>118.66003951070218</v>
      </c>
      <c r="I989">
        <v>987</v>
      </c>
      <c r="J989">
        <f t="shared" si="64"/>
        <v>0</v>
      </c>
      <c r="K989">
        <f ca="1">SUM($J$2:J989)/I989</f>
        <v>116.58802160019839</v>
      </c>
      <c r="M989">
        <v>987</v>
      </c>
      <c r="N989">
        <f t="shared" si="65"/>
        <v>0</v>
      </c>
      <c r="O989">
        <f ca="1">SUM($N$2:N989)/M989</f>
        <v>118.66003951070218</v>
      </c>
    </row>
    <row r="990" spans="1:15" x14ac:dyDescent="0.2">
      <c r="A990">
        <v>988</v>
      </c>
      <c r="B990" s="11">
        <f t="shared" si="62"/>
        <v>0</v>
      </c>
      <c r="C990">
        <f ca="1">SUM($B$2:B990)/A990</f>
        <v>116.47001752975284</v>
      </c>
      <c r="E990">
        <v>988</v>
      </c>
      <c r="F990" s="11">
        <f t="shared" si="63"/>
        <v>0</v>
      </c>
      <c r="G990">
        <f ca="1">SUM($F$2:F990)/E990</f>
        <v>118.53993825613669</v>
      </c>
      <c r="I990">
        <v>988</v>
      </c>
      <c r="J990">
        <f t="shared" si="64"/>
        <v>0</v>
      </c>
      <c r="K990">
        <f ca="1">SUM($J$2:J990)/I990</f>
        <v>116.47001752975284</v>
      </c>
      <c r="M990">
        <v>988</v>
      </c>
      <c r="N990">
        <f t="shared" si="65"/>
        <v>0</v>
      </c>
      <c r="O990">
        <f ca="1">SUM($N$2:N990)/M990</f>
        <v>118.53993825613669</v>
      </c>
    </row>
    <row r="991" spans="1:15" x14ac:dyDescent="0.2">
      <c r="A991">
        <v>989</v>
      </c>
      <c r="B991" s="11">
        <f t="shared" si="62"/>
        <v>0</v>
      </c>
      <c r="C991">
        <f ca="1">SUM($B$2:B991)/A991</f>
        <v>116.35225209241234</v>
      </c>
      <c r="E991">
        <v>989</v>
      </c>
      <c r="F991" s="11">
        <f t="shared" si="63"/>
        <v>0</v>
      </c>
      <c r="G991">
        <f ca="1">SUM($F$2:F991)/E991</f>
        <v>118.42007987569571</v>
      </c>
      <c r="I991">
        <v>989</v>
      </c>
      <c r="J991">
        <f t="shared" si="64"/>
        <v>0</v>
      </c>
      <c r="K991">
        <f ca="1">SUM($J$2:J991)/I991</f>
        <v>116.35225209241234</v>
      </c>
      <c r="M991">
        <v>989</v>
      </c>
      <c r="N991">
        <f t="shared" si="65"/>
        <v>0</v>
      </c>
      <c r="O991">
        <f ca="1">SUM($N$2:N991)/M991</f>
        <v>118.42007987569571</v>
      </c>
    </row>
    <row r="992" spans="1:15" x14ac:dyDescent="0.2">
      <c r="A992">
        <v>990</v>
      </c>
      <c r="B992" s="11">
        <f t="shared" si="62"/>
        <v>0</v>
      </c>
      <c r="C992">
        <f ca="1">SUM($B$2:B992)/A992</f>
        <v>116.23472456504626</v>
      </c>
      <c r="E992">
        <v>990</v>
      </c>
      <c r="F992" s="11">
        <f t="shared" si="63"/>
        <v>0</v>
      </c>
      <c r="G992">
        <f ca="1">SUM($F$2:F992)/E992</f>
        <v>118.30046363339702</v>
      </c>
      <c r="I992">
        <v>990</v>
      </c>
      <c r="J992">
        <f t="shared" si="64"/>
        <v>0</v>
      </c>
      <c r="K992">
        <f ca="1">SUM($J$2:J992)/I992</f>
        <v>116.23472456504626</v>
      </c>
      <c r="M992">
        <v>990</v>
      </c>
      <c r="N992">
        <f t="shared" si="65"/>
        <v>0</v>
      </c>
      <c r="O992">
        <f ca="1">SUM($N$2:N992)/M992</f>
        <v>118.30046363339702</v>
      </c>
    </row>
    <row r="993" spans="1:15" x14ac:dyDescent="0.2">
      <c r="A993">
        <v>991</v>
      </c>
      <c r="B993" s="11">
        <f t="shared" si="62"/>
        <v>0</v>
      </c>
      <c r="C993">
        <f ca="1">SUM($B$2:B993)/A993</f>
        <v>116.11743422744279</v>
      </c>
      <c r="E993">
        <v>991</v>
      </c>
      <c r="F993" s="11">
        <f t="shared" si="63"/>
        <v>0</v>
      </c>
      <c r="G993">
        <f ca="1">SUM($F$2:F993)/E993</f>
        <v>118.1810887962291</v>
      </c>
      <c r="I993">
        <v>991</v>
      </c>
      <c r="J993">
        <f t="shared" si="64"/>
        <v>0</v>
      </c>
      <c r="K993">
        <f ca="1">SUM($J$2:J993)/I993</f>
        <v>116.11743422744279</v>
      </c>
      <c r="M993">
        <v>991</v>
      </c>
      <c r="N993">
        <f t="shared" si="65"/>
        <v>0</v>
      </c>
      <c r="O993">
        <f ca="1">SUM($N$2:N993)/M993</f>
        <v>118.1810887962291</v>
      </c>
    </row>
    <row r="994" spans="1:15" x14ac:dyDescent="0.2">
      <c r="A994">
        <v>992</v>
      </c>
      <c r="B994" s="11">
        <f t="shared" si="62"/>
        <v>0</v>
      </c>
      <c r="C994">
        <f ca="1">SUM($B$2:B994)/A994</f>
        <v>116.00038036229415</v>
      </c>
      <c r="E994">
        <v>992</v>
      </c>
      <c r="F994" s="11">
        <f t="shared" si="63"/>
        <v>0</v>
      </c>
      <c r="G994">
        <f ca="1">SUM($F$2:F994)/E994</f>
        <v>118.06195463413614</v>
      </c>
      <c r="I994">
        <v>992</v>
      </c>
      <c r="J994">
        <f t="shared" si="64"/>
        <v>0</v>
      </c>
      <c r="K994">
        <f ca="1">SUM($J$2:J994)/I994</f>
        <v>116.00038036229415</v>
      </c>
      <c r="M994">
        <v>992</v>
      </c>
      <c r="N994">
        <f t="shared" si="65"/>
        <v>0</v>
      </c>
      <c r="O994">
        <f ca="1">SUM($N$2:N994)/M994</f>
        <v>118.06195463413614</v>
      </c>
    </row>
    <row r="995" spans="1:15" x14ac:dyDescent="0.2">
      <c r="A995">
        <v>993</v>
      </c>
      <c r="B995" s="11">
        <f t="shared" si="62"/>
        <v>0</v>
      </c>
      <c r="C995">
        <f ca="1">SUM($B$2:B995)/A995</f>
        <v>115.88356225518208</v>
      </c>
      <c r="E995">
        <v>993</v>
      </c>
      <c r="F995" s="11">
        <f t="shared" si="63"/>
        <v>0</v>
      </c>
      <c r="G995">
        <f ca="1">SUM($F$2:F995)/E995</f>
        <v>117.94306042000306</v>
      </c>
      <c r="I995">
        <v>993</v>
      </c>
      <c r="J995">
        <f t="shared" si="64"/>
        <v>0</v>
      </c>
      <c r="K995">
        <f ca="1">SUM($J$2:J995)/I995</f>
        <v>115.88356225518208</v>
      </c>
      <c r="M995">
        <v>993</v>
      </c>
      <c r="N995">
        <f t="shared" si="65"/>
        <v>0</v>
      </c>
      <c r="O995">
        <f ca="1">SUM($N$2:N995)/M995</f>
        <v>117.94306042000306</v>
      </c>
    </row>
    <row r="996" spans="1:15" x14ac:dyDescent="0.2">
      <c r="A996">
        <v>994</v>
      </c>
      <c r="B996" s="11">
        <f t="shared" si="62"/>
        <v>0</v>
      </c>
      <c r="C996">
        <f ca="1">SUM($B$2:B996)/A996</f>
        <v>115.76697919456318</v>
      </c>
      <c r="E996">
        <v>994</v>
      </c>
      <c r="F996" s="11">
        <f t="shared" si="63"/>
        <v>0</v>
      </c>
      <c r="G996">
        <f ca="1">SUM($F$2:F996)/E996</f>
        <v>117.82440542964089</v>
      </c>
      <c r="I996">
        <v>994</v>
      </c>
      <c r="J996">
        <f t="shared" si="64"/>
        <v>0</v>
      </c>
      <c r="K996">
        <f ca="1">SUM($J$2:J996)/I996</f>
        <v>115.76697919456318</v>
      </c>
      <c r="M996">
        <v>994</v>
      </c>
      <c r="N996">
        <f t="shared" si="65"/>
        <v>0</v>
      </c>
      <c r="O996">
        <f ca="1">SUM($N$2:N996)/M996</f>
        <v>117.82440542964089</v>
      </c>
    </row>
    <row r="997" spans="1:15" x14ac:dyDescent="0.2">
      <c r="A997">
        <v>995</v>
      </c>
      <c r="B997" s="11">
        <f t="shared" si="62"/>
        <v>0</v>
      </c>
      <c r="C997">
        <f ca="1">SUM($B$2:B997)/A997</f>
        <v>115.65063047175458</v>
      </c>
      <c r="E997">
        <v>995</v>
      </c>
      <c r="F997" s="11">
        <f t="shared" si="63"/>
        <v>0</v>
      </c>
      <c r="G997">
        <f ca="1">SUM($F$2:F997)/E997</f>
        <v>117.70598894177191</v>
      </c>
      <c r="I997">
        <v>995</v>
      </c>
      <c r="J997">
        <f t="shared" si="64"/>
        <v>0</v>
      </c>
      <c r="K997">
        <f ca="1">SUM($J$2:J997)/I997</f>
        <v>115.65063047175458</v>
      </c>
      <c r="M997">
        <v>995</v>
      </c>
      <c r="N997">
        <f t="shared" si="65"/>
        <v>0</v>
      </c>
      <c r="O997">
        <f ca="1">SUM($N$2:N997)/M997</f>
        <v>117.70598894177191</v>
      </c>
    </row>
    <row r="998" spans="1:15" x14ac:dyDescent="0.2">
      <c r="A998">
        <v>996</v>
      </c>
      <c r="B998" s="11">
        <f t="shared" si="62"/>
        <v>0</v>
      </c>
      <c r="C998">
        <f ca="1">SUM($B$2:B998)/A998</f>
        <v>115.53451538091949</v>
      </c>
      <c r="E998">
        <v>996</v>
      </c>
      <c r="F998" s="11">
        <f t="shared" si="63"/>
        <v>0</v>
      </c>
      <c r="G998">
        <f ca="1">SUM($F$2:F998)/E998</f>
        <v>117.58781023801511</v>
      </c>
      <c r="I998">
        <v>996</v>
      </c>
      <c r="J998">
        <f t="shared" si="64"/>
        <v>0</v>
      </c>
      <c r="K998">
        <f ca="1">SUM($J$2:J998)/I998</f>
        <v>115.53451538091949</v>
      </c>
      <c r="M998">
        <v>996</v>
      </c>
      <c r="N998">
        <f t="shared" si="65"/>
        <v>0</v>
      </c>
      <c r="O998">
        <f ca="1">SUM($N$2:N998)/M998</f>
        <v>117.58781023801511</v>
      </c>
    </row>
    <row r="999" spans="1:15" x14ac:dyDescent="0.2">
      <c r="A999">
        <v>997</v>
      </c>
      <c r="B999" s="11">
        <f t="shared" si="62"/>
        <v>0</v>
      </c>
      <c r="C999">
        <f ca="1">SUM($B$2:B999)/A999</f>
        <v>115.41863321905296</v>
      </c>
      <c r="E999">
        <v>997</v>
      </c>
      <c r="F999" s="11">
        <f t="shared" si="63"/>
        <v>0</v>
      </c>
      <c r="G999">
        <f ca="1">SUM($F$2:F999)/E999</f>
        <v>117.46986860287166</v>
      </c>
      <c r="I999">
        <v>997</v>
      </c>
      <c r="J999">
        <f t="shared" si="64"/>
        <v>0</v>
      </c>
      <c r="K999">
        <f ca="1">SUM($J$2:J999)/I999</f>
        <v>115.41863321905296</v>
      </c>
      <c r="M999">
        <v>997</v>
      </c>
      <c r="N999">
        <f t="shared" si="65"/>
        <v>0</v>
      </c>
      <c r="O999">
        <f ca="1">SUM($N$2:N999)/M999</f>
        <v>117.46986860287166</v>
      </c>
    </row>
    <row r="1000" spans="1:15" x14ac:dyDescent="0.2">
      <c r="A1000">
        <v>998</v>
      </c>
      <c r="B1000" s="11">
        <f t="shared" si="62"/>
        <v>0</v>
      </c>
      <c r="C1000">
        <f ca="1">SUM($B$2:B1000)/A1000</f>
        <v>115.30298328596774</v>
      </c>
      <c r="E1000">
        <v>998</v>
      </c>
      <c r="F1000" s="11">
        <f t="shared" si="63"/>
        <v>0</v>
      </c>
      <c r="G1000">
        <f ca="1">SUM($F$2:F1000)/E1000</f>
        <v>117.35216332371047</v>
      </c>
      <c r="I1000">
        <v>998</v>
      </c>
      <c r="J1000">
        <f t="shared" si="64"/>
        <v>0</v>
      </c>
      <c r="K1000">
        <f ca="1">SUM($J$2:J1000)/I1000</f>
        <v>115.30298328596774</v>
      </c>
      <c r="M1000">
        <v>998</v>
      </c>
      <c r="N1000">
        <f t="shared" si="65"/>
        <v>0</v>
      </c>
      <c r="O1000">
        <f ca="1">SUM($N$2:N1000)/M1000</f>
        <v>117.35216332371047</v>
      </c>
    </row>
    <row r="1001" spans="1:15" x14ac:dyDescent="0.2">
      <c r="A1001">
        <v>999</v>
      </c>
      <c r="B1001" s="11">
        <f t="shared" si="62"/>
        <v>0</v>
      </c>
      <c r="C1001">
        <f ca="1">SUM($B$2:B1001)/A1001</f>
        <v>115.18756488428008</v>
      </c>
      <c r="E1001">
        <v>999</v>
      </c>
      <c r="F1001" s="11">
        <f t="shared" si="63"/>
        <v>0</v>
      </c>
      <c r="G1001">
        <f ca="1">SUM($F$2:F1001)/E1001</f>
        <v>117.2346936907538</v>
      </c>
      <c r="I1001">
        <v>999</v>
      </c>
      <c r="J1001">
        <f t="shared" si="64"/>
        <v>0</v>
      </c>
      <c r="K1001">
        <f ca="1">SUM($J$2:J1001)/I1001</f>
        <v>115.18756488428008</v>
      </c>
      <c r="M1001">
        <v>999</v>
      </c>
      <c r="N1001">
        <f t="shared" si="65"/>
        <v>0</v>
      </c>
      <c r="O1001">
        <f ca="1">SUM($N$2:N1001)/M1001</f>
        <v>117.2346936907538</v>
      </c>
    </row>
    <row r="1002" spans="1:15" x14ac:dyDescent="0.2">
      <c r="A1002">
        <v>1000</v>
      </c>
      <c r="B1002" s="11">
        <f t="shared" si="62"/>
        <v>0</v>
      </c>
      <c r="C1002">
        <f ca="1">SUM($B$2:B1002)/A1002</f>
        <v>115.0723773193958</v>
      </c>
      <c r="E1002">
        <v>1000</v>
      </c>
      <c r="F1002" s="11">
        <f t="shared" si="63"/>
        <v>0</v>
      </c>
      <c r="G1002">
        <f ca="1">SUM($F$2:F1002)/E1002</f>
        <v>117.11745899706305</v>
      </c>
      <c r="I1002">
        <v>1000</v>
      </c>
      <c r="J1002">
        <f t="shared" si="64"/>
        <v>0</v>
      </c>
      <c r="K1002">
        <f ca="1">SUM($J$2:J1002)/I1002</f>
        <v>115.0723773193958</v>
      </c>
      <c r="M1002">
        <v>1000</v>
      </c>
      <c r="N1002">
        <f t="shared" si="65"/>
        <v>0</v>
      </c>
      <c r="O1002">
        <f ca="1">SUM($N$2:N1002)/M1002</f>
        <v>117.11745899706305</v>
      </c>
    </row>
    <row r="1003" spans="1:15" x14ac:dyDescent="0.2">
      <c r="A1003">
        <v>1001</v>
      </c>
      <c r="B1003" s="11">
        <f t="shared" si="62"/>
        <v>0</v>
      </c>
      <c r="C1003">
        <f ca="1">SUM($B$2:B1003)/A1003</f>
        <v>114.9574198994963</v>
      </c>
      <c r="E1003">
        <v>1001</v>
      </c>
      <c r="F1003" s="11">
        <f t="shared" si="63"/>
        <v>0</v>
      </c>
      <c r="G1003">
        <f ca="1">SUM($F$2:F1003)/E1003</f>
        <v>117.00045853852453</v>
      </c>
      <c r="I1003">
        <v>1001</v>
      </c>
      <c r="J1003">
        <f t="shared" si="64"/>
        <v>0</v>
      </c>
      <c r="K1003">
        <f ca="1">SUM($J$2:J1003)/I1003</f>
        <v>114.9574198994963</v>
      </c>
      <c r="M1003">
        <v>1001</v>
      </c>
      <c r="N1003">
        <f t="shared" si="65"/>
        <v>0</v>
      </c>
      <c r="O1003">
        <f ca="1">SUM($N$2:N1003)/M1003</f>
        <v>117.00045853852453</v>
      </c>
    </row>
    <row r="1004" spans="1:15" x14ac:dyDescent="0.2">
      <c r="A1004">
        <v>1002</v>
      </c>
      <c r="B1004" s="11">
        <f t="shared" si="62"/>
        <v>0</v>
      </c>
      <c r="C1004">
        <f ca="1">SUM($B$2:B1004)/A1004</f>
        <v>114.84269193552475</v>
      </c>
      <c r="E1004">
        <v>1002</v>
      </c>
      <c r="F1004" s="11">
        <f t="shared" si="63"/>
        <v>0</v>
      </c>
      <c r="G1004">
        <f ca="1">SUM($F$2:F1004)/E1004</f>
        <v>116.88369161383538</v>
      </c>
      <c r="I1004">
        <v>1002</v>
      </c>
      <c r="J1004">
        <f t="shared" si="64"/>
        <v>0</v>
      </c>
      <c r="K1004">
        <f ca="1">SUM($J$2:J1004)/I1004</f>
        <v>114.84269193552475</v>
      </c>
      <c r="M1004">
        <v>1002</v>
      </c>
      <c r="N1004">
        <f t="shared" si="65"/>
        <v>0</v>
      </c>
      <c r="O1004">
        <f ca="1">SUM($N$2:N1004)/M1004</f>
        <v>116.88369161383538</v>
      </c>
    </row>
    <row r="1005" spans="1:15" x14ac:dyDescent="0.2">
      <c r="A1005">
        <v>1003</v>
      </c>
      <c r="B1005" s="11">
        <f t="shared" si="62"/>
        <v>0</v>
      </c>
      <c r="C1005">
        <f ca="1">SUM($B$2:B1005)/A1005</f>
        <v>114.72819274117229</v>
      </c>
      <c r="E1005">
        <v>1003</v>
      </c>
      <c r="F1005" s="11">
        <f t="shared" si="63"/>
        <v>0</v>
      </c>
      <c r="G1005">
        <f ca="1">SUM($F$2:F1005)/E1005</f>
        <v>116.76715752448958</v>
      </c>
      <c r="I1005">
        <v>1003</v>
      </c>
      <c r="J1005">
        <f t="shared" si="64"/>
        <v>0</v>
      </c>
      <c r="K1005">
        <f ca="1">SUM($J$2:J1005)/I1005</f>
        <v>114.72819274117229</v>
      </c>
      <c r="M1005">
        <v>1003</v>
      </c>
      <c r="N1005">
        <f t="shared" si="65"/>
        <v>0</v>
      </c>
      <c r="O1005">
        <f ca="1">SUM($N$2:N1005)/M1005</f>
        <v>116.76715752448958</v>
      </c>
    </row>
    <row r="1006" spans="1:15" x14ac:dyDescent="0.2">
      <c r="A1006">
        <v>1004</v>
      </c>
      <c r="B1006" s="11">
        <f t="shared" si="62"/>
        <v>0</v>
      </c>
      <c r="C1006">
        <f ca="1">SUM($B$2:B1006)/A1006</f>
        <v>114.61392163286435</v>
      </c>
      <c r="E1006">
        <v>1004</v>
      </c>
      <c r="F1006" s="11">
        <f t="shared" si="63"/>
        <v>0</v>
      </c>
      <c r="G1006">
        <f ca="1">SUM($F$2:F1006)/E1006</f>
        <v>116.65085557476399</v>
      </c>
      <c r="I1006">
        <v>1004</v>
      </c>
      <c r="J1006">
        <f t="shared" si="64"/>
        <v>0</v>
      </c>
      <c r="K1006">
        <f ca="1">SUM($J$2:J1006)/I1006</f>
        <v>114.61392163286435</v>
      </c>
      <c r="M1006">
        <v>1004</v>
      </c>
      <c r="N1006">
        <f t="shared" si="65"/>
        <v>0</v>
      </c>
      <c r="O1006">
        <f ca="1">SUM($N$2:N1006)/M1006</f>
        <v>116.65085557476399</v>
      </c>
    </row>
    <row r="1007" spans="1:15" x14ac:dyDescent="0.2">
      <c r="A1007">
        <v>1005</v>
      </c>
      <c r="B1007" s="11">
        <f t="shared" si="62"/>
        <v>0</v>
      </c>
      <c r="C1007">
        <f ca="1">SUM($B$2:B1007)/A1007</f>
        <v>114.49987792974707</v>
      </c>
      <c r="E1007">
        <v>1005</v>
      </c>
      <c r="F1007" s="11">
        <f t="shared" si="63"/>
        <v>0</v>
      </c>
      <c r="G1007">
        <f ca="1">SUM($F$2:F1007)/E1007</f>
        <v>116.53478507170452</v>
      </c>
      <c r="I1007">
        <v>1005</v>
      </c>
      <c r="J1007">
        <f t="shared" si="64"/>
        <v>0</v>
      </c>
      <c r="K1007">
        <f ca="1">SUM($J$2:J1007)/I1007</f>
        <v>114.49987792974707</v>
      </c>
      <c r="M1007">
        <v>1005</v>
      </c>
      <c r="N1007">
        <f t="shared" si="65"/>
        <v>0</v>
      </c>
      <c r="O1007">
        <f ca="1">SUM($N$2:N1007)/M1007</f>
        <v>116.53478507170452</v>
      </c>
    </row>
    <row r="1008" spans="1:15" x14ac:dyDescent="0.2">
      <c r="A1008">
        <v>1006</v>
      </c>
      <c r="B1008" s="11">
        <f t="shared" si="62"/>
        <v>0</v>
      </c>
      <c r="C1008">
        <f ca="1">SUM($B$2:B1008)/A1008</f>
        <v>114.38606095367376</v>
      </c>
      <c r="E1008">
        <v>1006</v>
      </c>
      <c r="F1008" s="11">
        <f t="shared" si="63"/>
        <v>0</v>
      </c>
      <c r="G1008">
        <f ca="1">SUM($F$2:F1008)/E1008</f>
        <v>116.41894532511238</v>
      </c>
      <c r="I1008">
        <v>1006</v>
      </c>
      <c r="J1008">
        <f t="shared" si="64"/>
        <v>0</v>
      </c>
      <c r="K1008">
        <f ca="1">SUM($J$2:J1008)/I1008</f>
        <v>114.38606095367376</v>
      </c>
      <c r="M1008">
        <v>1006</v>
      </c>
      <c r="N1008">
        <f t="shared" si="65"/>
        <v>0</v>
      </c>
      <c r="O1008">
        <f ca="1">SUM($N$2:N1008)/M1008</f>
        <v>116.41894532511238</v>
      </c>
    </row>
    <row r="1009" spans="1:15" x14ac:dyDescent="0.2">
      <c r="A1009">
        <v>1007</v>
      </c>
      <c r="B1009" s="11">
        <f t="shared" si="62"/>
        <v>0</v>
      </c>
      <c r="C1009">
        <f ca="1">SUM($B$2:B1009)/A1009</f>
        <v>114.27247002919147</v>
      </c>
      <c r="E1009">
        <v>1007</v>
      </c>
      <c r="F1009" s="11">
        <f t="shared" si="63"/>
        <v>0</v>
      </c>
      <c r="G1009">
        <f ca="1">SUM($F$2:F1009)/E1009</f>
        <v>116.30333564753033</v>
      </c>
      <c r="I1009">
        <v>1007</v>
      </c>
      <c r="J1009">
        <f t="shared" si="64"/>
        <v>0</v>
      </c>
      <c r="K1009">
        <f ca="1">SUM($J$2:J1009)/I1009</f>
        <v>114.27247002919147</v>
      </c>
      <c r="M1009">
        <v>1007</v>
      </c>
      <c r="N1009">
        <f t="shared" si="65"/>
        <v>0</v>
      </c>
      <c r="O1009">
        <f ca="1">SUM($N$2:N1009)/M1009</f>
        <v>116.30333564753033</v>
      </c>
    </row>
    <row r="1010" spans="1:15" x14ac:dyDescent="0.2">
      <c r="A1010">
        <v>1008</v>
      </c>
      <c r="B1010" s="11">
        <f t="shared" si="62"/>
        <v>0</v>
      </c>
      <c r="C1010">
        <f ca="1">SUM($B$2:B1010)/A1010</f>
        <v>114.15910448352759</v>
      </c>
      <c r="E1010">
        <v>1008</v>
      </c>
      <c r="F1010" s="11">
        <f t="shared" si="63"/>
        <v>0</v>
      </c>
      <c r="G1010">
        <f ca="1">SUM($F$2:F1010)/E1010</f>
        <v>116.18795535422922</v>
      </c>
      <c r="I1010">
        <v>1008</v>
      </c>
      <c r="J1010">
        <f t="shared" si="64"/>
        <v>0</v>
      </c>
      <c r="K1010">
        <f ca="1">SUM($J$2:J1010)/I1010</f>
        <v>114.15910448352759</v>
      </c>
      <c r="M1010">
        <v>1008</v>
      </c>
      <c r="N1010">
        <f t="shared" si="65"/>
        <v>0</v>
      </c>
      <c r="O1010">
        <f ca="1">SUM($N$2:N1010)/M1010</f>
        <v>116.18795535422922</v>
      </c>
    </row>
    <row r="1011" spans="1:15" x14ac:dyDescent="0.2">
      <c r="A1011">
        <v>1009</v>
      </c>
      <c r="B1011" s="11">
        <f t="shared" si="62"/>
        <v>0</v>
      </c>
      <c r="C1011">
        <f ca="1">SUM($B$2:B1011)/A1011</f>
        <v>114.04596364657661</v>
      </c>
      <c r="E1011">
        <v>1009</v>
      </c>
      <c r="F1011" s="11">
        <f t="shared" si="63"/>
        <v>0</v>
      </c>
      <c r="G1011">
        <f ca="1">SUM($F$2:F1011)/E1011</f>
        <v>116.0728037631943</v>
      </c>
      <c r="I1011">
        <v>1009</v>
      </c>
      <c r="J1011">
        <f t="shared" si="64"/>
        <v>0</v>
      </c>
      <c r="K1011">
        <f ca="1">SUM($J$2:J1011)/I1011</f>
        <v>114.04596364657661</v>
      </c>
      <c r="M1011">
        <v>1009</v>
      </c>
      <c r="N1011">
        <f t="shared" si="65"/>
        <v>0</v>
      </c>
      <c r="O1011">
        <f ca="1">SUM($N$2:N1011)/M1011</f>
        <v>116.0728037631943</v>
      </c>
    </row>
    <row r="1012" spans="1:15" x14ac:dyDescent="0.2">
      <c r="A1012">
        <v>1010</v>
      </c>
      <c r="B1012" s="11">
        <f t="shared" si="62"/>
        <v>0</v>
      </c>
      <c r="C1012">
        <f ca="1">SUM($B$2:B1012)/A1012</f>
        <v>113.93304685088694</v>
      </c>
      <c r="E1012">
        <v>1010</v>
      </c>
      <c r="F1012" s="11">
        <f t="shared" si="63"/>
        <v>0</v>
      </c>
      <c r="G1012">
        <f ca="1">SUM($F$2:F1012)/E1012</f>
        <v>115.95788019511193</v>
      </c>
      <c r="I1012">
        <v>1010</v>
      </c>
      <c r="J1012">
        <f t="shared" si="64"/>
        <v>0</v>
      </c>
      <c r="K1012">
        <f ca="1">SUM($J$2:J1012)/I1012</f>
        <v>113.93304685088694</v>
      </c>
      <c r="M1012">
        <v>1010</v>
      </c>
      <c r="N1012">
        <f t="shared" si="65"/>
        <v>0</v>
      </c>
      <c r="O1012">
        <f ca="1">SUM($N$2:N1012)/M1012</f>
        <v>115.95788019511193</v>
      </c>
    </row>
    <row r="1013" spans="1:15" x14ac:dyDescent="0.2">
      <c r="A1013">
        <v>1011</v>
      </c>
      <c r="B1013" s="11">
        <f t="shared" si="62"/>
        <v>0</v>
      </c>
      <c r="C1013">
        <f ca="1">SUM($B$2:B1013)/A1013</f>
        <v>113.82035343164767</v>
      </c>
      <c r="E1013">
        <v>1011</v>
      </c>
      <c r="F1013" s="11">
        <f t="shared" si="63"/>
        <v>0</v>
      </c>
      <c r="G1013">
        <f ca="1">SUM($F$2:F1013)/E1013</f>
        <v>115.84318397335613</v>
      </c>
      <c r="I1013">
        <v>1011</v>
      </c>
      <c r="J1013">
        <f t="shared" si="64"/>
        <v>0</v>
      </c>
      <c r="K1013">
        <f ca="1">SUM($J$2:J1013)/I1013</f>
        <v>113.82035343164767</v>
      </c>
      <c r="M1013">
        <v>1011</v>
      </c>
      <c r="N1013">
        <f t="shared" si="65"/>
        <v>0</v>
      </c>
      <c r="O1013">
        <f ca="1">SUM($N$2:N1013)/M1013</f>
        <v>115.84318397335613</v>
      </c>
    </row>
    <row r="1014" spans="1:15" x14ac:dyDescent="0.2">
      <c r="A1014">
        <v>1012</v>
      </c>
      <c r="B1014" s="11">
        <f t="shared" si="62"/>
        <v>0</v>
      </c>
      <c r="C1014">
        <f ca="1">SUM($B$2:B1014)/A1014</f>
        <v>113.70788272667569</v>
      </c>
      <c r="E1014">
        <v>1012</v>
      </c>
      <c r="F1014" s="11">
        <f t="shared" si="63"/>
        <v>0</v>
      </c>
      <c r="G1014">
        <f ca="1">SUM($F$2:F1014)/E1014</f>
        <v>115.72871442397535</v>
      </c>
      <c r="I1014">
        <v>1012</v>
      </c>
      <c r="J1014">
        <f t="shared" si="64"/>
        <v>0</v>
      </c>
      <c r="K1014">
        <f ca="1">SUM($J$2:J1014)/I1014</f>
        <v>113.70788272667569</v>
      </c>
      <c r="M1014">
        <v>1012</v>
      </c>
      <c r="N1014">
        <f t="shared" si="65"/>
        <v>0</v>
      </c>
      <c r="O1014">
        <f ca="1">SUM($N$2:N1014)/M1014</f>
        <v>115.72871442397535</v>
      </c>
    </row>
    <row r="1015" spans="1:15" x14ac:dyDescent="0.2">
      <c r="A1015">
        <v>1013</v>
      </c>
      <c r="B1015" s="11">
        <f t="shared" si="62"/>
        <v>0</v>
      </c>
      <c r="C1015">
        <f ca="1">SUM($B$2:B1015)/A1015</f>
        <v>113.59563407640258</v>
      </c>
      <c r="E1015">
        <v>1013</v>
      </c>
      <c r="F1015" s="11">
        <f t="shared" si="63"/>
        <v>0</v>
      </c>
      <c r="G1015">
        <f ca="1">SUM($F$2:F1015)/E1015</f>
        <v>115.61447087567922</v>
      </c>
      <c r="I1015">
        <v>1013</v>
      </c>
      <c r="J1015">
        <f t="shared" si="64"/>
        <v>0</v>
      </c>
      <c r="K1015">
        <f ca="1">SUM($J$2:J1015)/I1015</f>
        <v>113.59563407640258</v>
      </c>
      <c r="M1015">
        <v>1013</v>
      </c>
      <c r="N1015">
        <f t="shared" si="65"/>
        <v>0</v>
      </c>
      <c r="O1015">
        <f ca="1">SUM($N$2:N1015)/M1015</f>
        <v>115.61447087567922</v>
      </c>
    </row>
    <row r="1016" spans="1:15" x14ac:dyDescent="0.2">
      <c r="A1016">
        <v>1014</v>
      </c>
      <c r="B1016" s="11">
        <f t="shared" si="62"/>
        <v>0</v>
      </c>
      <c r="C1016">
        <f ca="1">SUM($B$2:B1016)/A1016</f>
        <v>113.48360682386173</v>
      </c>
      <c r="E1016">
        <v>1014</v>
      </c>
      <c r="F1016" s="11">
        <f t="shared" si="63"/>
        <v>0</v>
      </c>
      <c r="G1016">
        <f ca="1">SUM($F$2:F1016)/E1016</f>
        <v>115.50045265982548</v>
      </c>
      <c r="I1016">
        <v>1014</v>
      </c>
      <c r="J1016">
        <f t="shared" si="64"/>
        <v>0</v>
      </c>
      <c r="K1016">
        <f ca="1">SUM($J$2:J1016)/I1016</f>
        <v>113.48360682386173</v>
      </c>
      <c r="M1016">
        <v>1014</v>
      </c>
      <c r="N1016">
        <f t="shared" si="65"/>
        <v>0</v>
      </c>
      <c r="O1016">
        <f ca="1">SUM($N$2:N1016)/M1016</f>
        <v>115.50045265982548</v>
      </c>
    </row>
    <row r="1017" spans="1:15" x14ac:dyDescent="0.2">
      <c r="A1017">
        <v>1015</v>
      </c>
      <c r="B1017" s="11">
        <f t="shared" si="62"/>
        <v>0</v>
      </c>
      <c r="C1017">
        <f ca="1">SUM($B$2:B1017)/A1017</f>
        <v>113.37180031467567</v>
      </c>
      <c r="E1017">
        <v>1015</v>
      </c>
      <c r="F1017" s="11">
        <f t="shared" si="63"/>
        <v>0</v>
      </c>
      <c r="G1017">
        <f ca="1">SUM($F$2:F1017)/E1017</f>
        <v>115.38665911040694</v>
      </c>
      <c r="I1017">
        <v>1015</v>
      </c>
      <c r="J1017">
        <f t="shared" si="64"/>
        <v>0</v>
      </c>
      <c r="K1017">
        <f ca="1">SUM($J$2:J1017)/I1017</f>
        <v>113.37180031467567</v>
      </c>
      <c r="M1017">
        <v>1015</v>
      </c>
      <c r="N1017">
        <f t="shared" si="65"/>
        <v>0</v>
      </c>
      <c r="O1017">
        <f ca="1">SUM($N$2:N1017)/M1017</f>
        <v>115.38665911040694</v>
      </c>
    </row>
    <row r="1018" spans="1:15" x14ac:dyDescent="0.2">
      <c r="A1018">
        <v>1016</v>
      </c>
      <c r="B1018" s="11">
        <f t="shared" si="62"/>
        <v>0</v>
      </c>
      <c r="C1018">
        <f ca="1">SUM($B$2:B1018)/A1018</f>
        <v>113.26021389704312</v>
      </c>
      <c r="E1018">
        <v>1016</v>
      </c>
      <c r="F1018" s="11">
        <f t="shared" si="63"/>
        <v>0</v>
      </c>
      <c r="G1018">
        <f ca="1">SUM($F$2:F1018)/E1018</f>
        <v>115.27308956403843</v>
      </c>
      <c r="I1018">
        <v>1016</v>
      </c>
      <c r="J1018">
        <f t="shared" si="64"/>
        <v>0</v>
      </c>
      <c r="K1018">
        <f ca="1">SUM($J$2:J1018)/I1018</f>
        <v>113.26021389704312</v>
      </c>
      <c r="M1018">
        <v>1016</v>
      </c>
      <c r="N1018">
        <f t="shared" si="65"/>
        <v>0</v>
      </c>
      <c r="O1018">
        <f ca="1">SUM($N$2:N1018)/M1018</f>
        <v>115.27308956403843</v>
      </c>
    </row>
    <row r="1019" spans="1:15" x14ac:dyDescent="0.2">
      <c r="A1019">
        <v>1017</v>
      </c>
      <c r="B1019" s="11">
        <f t="shared" si="62"/>
        <v>0</v>
      </c>
      <c r="C1019">
        <f ca="1">SUM($B$2:B1019)/A1019</f>
        <v>113.14884692172646</v>
      </c>
      <c r="E1019">
        <v>1017</v>
      </c>
      <c r="F1019" s="11">
        <f t="shared" si="63"/>
        <v>0</v>
      </c>
      <c r="G1019">
        <f ca="1">SUM($F$2:F1019)/E1019</f>
        <v>115.159743359944</v>
      </c>
      <c r="I1019">
        <v>1017</v>
      </c>
      <c r="J1019">
        <f t="shared" si="64"/>
        <v>0</v>
      </c>
      <c r="K1019">
        <f ca="1">SUM($J$2:J1019)/I1019</f>
        <v>113.14884692172646</v>
      </c>
      <c r="M1019">
        <v>1017</v>
      </c>
      <c r="N1019">
        <f t="shared" si="65"/>
        <v>0</v>
      </c>
      <c r="O1019">
        <f ca="1">SUM($N$2:N1019)/M1019</f>
        <v>115.159743359944</v>
      </c>
    </row>
    <row r="1020" spans="1:15" x14ac:dyDescent="0.2">
      <c r="A1020">
        <v>1018</v>
      </c>
      <c r="B1020" s="11">
        <f t="shared" si="62"/>
        <v>0</v>
      </c>
      <c r="C1020">
        <f ca="1">SUM($B$2:B1020)/A1020</f>
        <v>113.0376987420391</v>
      </c>
      <c r="E1020">
        <v>1018</v>
      </c>
      <c r="F1020" s="11">
        <f t="shared" si="63"/>
        <v>0</v>
      </c>
      <c r="G1020">
        <f ca="1">SUM($F$2:F1020)/E1020</f>
        <v>115.04661983994406</v>
      </c>
      <c r="I1020">
        <v>1018</v>
      </c>
      <c r="J1020">
        <f t="shared" si="64"/>
        <v>0</v>
      </c>
      <c r="K1020">
        <f ca="1">SUM($J$2:J1020)/I1020</f>
        <v>113.0376987420391</v>
      </c>
      <c r="M1020">
        <v>1018</v>
      </c>
      <c r="N1020">
        <f t="shared" si="65"/>
        <v>0</v>
      </c>
      <c r="O1020">
        <f ca="1">SUM($N$2:N1020)/M1020</f>
        <v>115.04661983994406</v>
      </c>
    </row>
    <row r="1021" spans="1:15" x14ac:dyDescent="0.2">
      <c r="A1021">
        <v>1019</v>
      </c>
      <c r="B1021" s="11">
        <f t="shared" si="62"/>
        <v>0</v>
      </c>
      <c r="C1021">
        <f ca="1">SUM($B$2:B1021)/A1021</f>
        <v>112.92676871383297</v>
      </c>
      <c r="E1021">
        <v>1019</v>
      </c>
      <c r="F1021" s="11">
        <f t="shared" si="63"/>
        <v>0</v>
      </c>
      <c r="G1021">
        <f ca="1">SUM($F$2:F1021)/E1021</f>
        <v>114.93371834844264</v>
      </c>
      <c r="I1021">
        <v>1019</v>
      </c>
      <c r="J1021">
        <f t="shared" si="64"/>
        <v>0</v>
      </c>
      <c r="K1021">
        <f ca="1">SUM($J$2:J1021)/I1021</f>
        <v>112.92676871383297</v>
      </c>
      <c r="M1021">
        <v>1019</v>
      </c>
      <c r="N1021">
        <f t="shared" si="65"/>
        <v>0</v>
      </c>
      <c r="O1021">
        <f ca="1">SUM($N$2:N1021)/M1021</f>
        <v>114.93371834844264</v>
      </c>
    </row>
    <row r="1022" spans="1:15" x14ac:dyDescent="0.2">
      <c r="A1022">
        <v>1020</v>
      </c>
      <c r="B1022" s="11">
        <f t="shared" si="62"/>
        <v>0</v>
      </c>
      <c r="C1022">
        <f ca="1">SUM($B$2:B1022)/A1022</f>
        <v>112.81605619548608</v>
      </c>
      <c r="E1022">
        <v>1020</v>
      </c>
      <c r="F1022" s="11">
        <f t="shared" si="63"/>
        <v>0</v>
      </c>
      <c r="G1022">
        <f ca="1">SUM($F$2:F1022)/E1022</f>
        <v>114.82103823241475</v>
      </c>
      <c r="I1022">
        <v>1020</v>
      </c>
      <c r="J1022">
        <f t="shared" si="64"/>
        <v>0</v>
      </c>
      <c r="K1022">
        <f ca="1">SUM($J$2:J1022)/I1022</f>
        <v>112.81605619548608</v>
      </c>
      <c r="M1022">
        <v>1020</v>
      </c>
      <c r="N1022">
        <f t="shared" si="65"/>
        <v>0</v>
      </c>
      <c r="O1022">
        <f ca="1">SUM($N$2:N1022)/M1022</f>
        <v>114.82103823241475</v>
      </c>
    </row>
    <row r="1023" spans="1:15" x14ac:dyDescent="0.2">
      <c r="A1023">
        <v>1021</v>
      </c>
      <c r="B1023" s="11">
        <f t="shared" si="62"/>
        <v>0</v>
      </c>
      <c r="C1023">
        <f ca="1">SUM($B$2:B1023)/A1023</f>
        <v>112.70556054789012</v>
      </c>
      <c r="E1023">
        <v>1021</v>
      </c>
      <c r="F1023" s="11">
        <f t="shared" si="63"/>
        <v>0</v>
      </c>
      <c r="G1023">
        <f ca="1">SUM($F$2:F1023)/E1023</f>
        <v>114.70857884139377</v>
      </c>
      <c r="I1023">
        <v>1021</v>
      </c>
      <c r="J1023">
        <f t="shared" si="64"/>
        <v>0</v>
      </c>
      <c r="K1023">
        <f ca="1">SUM($J$2:J1023)/I1023</f>
        <v>112.70556054789012</v>
      </c>
      <c r="M1023">
        <v>1021</v>
      </c>
      <c r="N1023">
        <f t="shared" si="65"/>
        <v>0</v>
      </c>
      <c r="O1023">
        <f ca="1">SUM($N$2:N1023)/M1023</f>
        <v>114.70857884139377</v>
      </c>
    </row>
    <row r="1024" spans="1:15" x14ac:dyDescent="0.2">
      <c r="A1024">
        <v>1022</v>
      </c>
      <c r="B1024" s="11">
        <f t="shared" si="62"/>
        <v>0</v>
      </c>
      <c r="C1024">
        <f ca="1">SUM($B$2:B1024)/A1024</f>
        <v>112.59528113443817</v>
      </c>
      <c r="E1024">
        <v>1022</v>
      </c>
      <c r="F1024" s="11">
        <f t="shared" si="63"/>
        <v>0</v>
      </c>
      <c r="G1024">
        <f ca="1">SUM($F$2:F1024)/E1024</f>
        <v>114.59633952745895</v>
      </c>
      <c r="I1024">
        <v>1022</v>
      </c>
      <c r="J1024">
        <f t="shared" si="64"/>
        <v>0</v>
      </c>
      <c r="K1024">
        <f ca="1">SUM($J$2:J1024)/I1024</f>
        <v>112.59528113443817</v>
      </c>
      <c r="M1024">
        <v>1022</v>
      </c>
      <c r="N1024">
        <f t="shared" si="65"/>
        <v>0</v>
      </c>
      <c r="O1024">
        <f ca="1">SUM($N$2:N1024)/M1024</f>
        <v>114.59633952745895</v>
      </c>
    </row>
    <row r="1025" spans="1:15" x14ac:dyDescent="0.2">
      <c r="A1025">
        <v>1023</v>
      </c>
      <c r="B1025" s="11">
        <f t="shared" si="62"/>
        <v>0</v>
      </c>
      <c r="C1025">
        <f ca="1">SUM($B$2:B1025)/A1025</f>
        <v>112.48521732101251</v>
      </c>
      <c r="E1025">
        <v>1023</v>
      </c>
      <c r="F1025" s="11">
        <f t="shared" si="63"/>
        <v>0</v>
      </c>
      <c r="G1025">
        <f ca="1">SUM($F$2:F1025)/E1025</f>
        <v>114.48431964522293</v>
      </c>
      <c r="I1025">
        <v>1023</v>
      </c>
      <c r="J1025">
        <f t="shared" si="64"/>
        <v>0</v>
      </c>
      <c r="K1025">
        <f ca="1">SUM($J$2:J1025)/I1025</f>
        <v>112.48521732101251</v>
      </c>
      <c r="M1025">
        <v>1023</v>
      </c>
      <c r="N1025">
        <f t="shared" si="65"/>
        <v>0</v>
      </c>
      <c r="O1025">
        <f ca="1">SUM($N$2:N1025)/M1025</f>
        <v>114.48431964522293</v>
      </c>
    </row>
    <row r="1026" spans="1:15" x14ac:dyDescent="0.2">
      <c r="A1026">
        <v>1024</v>
      </c>
      <c r="B1026" s="11">
        <f t="shared" si="62"/>
        <v>0</v>
      </c>
      <c r="C1026">
        <f ca="1">SUM($B$2:B1026)/A1026</f>
        <v>112.37536847597246</v>
      </c>
      <c r="E1026">
        <v>1024</v>
      </c>
      <c r="F1026" s="11">
        <f t="shared" si="63"/>
        <v>0</v>
      </c>
      <c r="G1026">
        <f ca="1">SUM($F$2:F1026)/E1026</f>
        <v>114.37251855181938</v>
      </c>
      <c r="I1026">
        <v>1024</v>
      </c>
      <c r="J1026">
        <f t="shared" si="64"/>
        <v>0</v>
      </c>
      <c r="K1026">
        <f ca="1">SUM($J$2:J1026)/I1026</f>
        <v>112.37536847597246</v>
      </c>
      <c r="M1026">
        <v>1024</v>
      </c>
      <c r="N1026">
        <f t="shared" si="65"/>
        <v>0</v>
      </c>
      <c r="O1026">
        <f ca="1">SUM($N$2:N1026)/M1026</f>
        <v>114.37251855181938</v>
      </c>
    </row>
    <row r="1027" spans="1:15" x14ac:dyDescent="0.2">
      <c r="A1027">
        <v>1025</v>
      </c>
      <c r="B1027" s="11">
        <f t="shared" ref="B1027:B1090" si="66">IF(ARCap-IF((A1027-IF(A1027/180&gt;1,ROUNDDOWN(A1027/180,0)*180,0))/30&lt;=1,IF(200*15*BaseSpeed/60*(YellowConnects+WhiteMHConnects+WhiteOHConnects+HoJConnects+WindfuryConnects+SSConnects+IronfoeConnects)*(A1027-180*ROUNDDOWN(A1027/180,0))&gt;1200,1200,200*15*BaseSpeed/60*(YellowConnects+WhiteMHConnects+WhiteOHConnects+HoJConnects+WindfuryConnects+SSConnects+IronfoeConnects)*(A1027-180*ROUNDDOWN(A1027/180,0))),0)&lt;0,ARCap,IF((A1027-IF(A1027/180&gt;1,ROUNDDOWN(A1026/180,0)*180,0))/30&lt;=1,IF(200*15*BaseSpeed/60*(YellowConnects+WhiteMHConnects+WhiteOHConnects+HoJConnects+WindfuryConnects+SSConnects+IronfoeConnects)*(A1027-180*ROUNDDOWN(A1027/180,0))&gt;1200,1200,200*15*BaseSpeed/60*(YellowConnects+WhiteMHConnects+WhiteOHConnects+HoJConnects+WindfuryConnects+SSConnects+IronfoeConnects)*(A1027-180*ROUNDDOWN(A1027/180,0))),0))</f>
        <v>0</v>
      </c>
      <c r="C1027">
        <f ca="1">SUM($B$2:B1027)/A1027</f>
        <v>112.26573397014225</v>
      </c>
      <c r="E1027">
        <v>1025</v>
      </c>
      <c r="F1027" s="11">
        <f t="shared" ref="F1027:F1090" si="67">IF(ARCap-IF((A1027-IF(A1027/180&gt;1,ROUNDDOWN(A1027/180,0)*180,0))/30&lt;=1,IF(200*15*BaseSpeed/60*(YellowConnects20+WhiteMHConnects20+WhiteOHConnects20+HoJConnects20+WindfuryConnects20+SSConnects20+IronfoeConnects20)*(A1027-180*ROUNDDOWN(A1027/180,0))&gt;1200,1200,200*15*BaseSpeed/60*(YellowConnects20+WhiteMHConnects20+WhiteOHConnects20+HoJConnects20+WindfuryConnects20+SSConnects20+IronfoeConnects20)*(A1027-180*ROUNDDOWN(A1027/180,0))),0)&lt;0,ARCap,IF((A1027-IF(A1027/180&gt;1,ROUNDDOWN(A1027/180,0)*180,0))/30&lt;=1,IF(200*15*BaseSpeed/60*(YellowConnects20+WhiteMHConnects20+WhiteOHConnects20+HoJConnects20+WindfuryConnects20+SSConnects20+IronfoeConnects20)*(A1027-180*ROUNDDOWN(A1027/180,0))&gt;1200,1200,200*15*BaseSpeed/60*(YellowConnects20+WhiteMHConnects20+WhiteOHConnects20+HoJConnects20+WindfuryConnects20+SSConnects20+IronfoeConnects20)*(A1027-180*ROUNDDOWN(A1027/180,0))),0))</f>
        <v>0</v>
      </c>
      <c r="G1027">
        <f ca="1">SUM($F$2:F1027)/E1027</f>
        <v>114.26093560689078</v>
      </c>
      <c r="I1027">
        <v>1025</v>
      </c>
      <c r="J1027">
        <f t="shared" ref="J1027:J1090" si="68">IF(ARCap-(B1027+BRE)&lt;0,ARCap,B1027+BRE)</f>
        <v>0</v>
      </c>
      <c r="K1027">
        <f ca="1">SUM($J$2:J1027)/I1027</f>
        <v>112.26573397014225</v>
      </c>
      <c r="M1027">
        <v>1025</v>
      </c>
      <c r="N1027">
        <f t="shared" ref="N1027:N1090" si="69">IF(ARCap-(F1027+BREArmorReduction20)&lt;0,ARCap,F1027+BREArmorReduction20)</f>
        <v>0</v>
      </c>
      <c r="O1027">
        <f ca="1">SUM($N$2:N1027)/M1027</f>
        <v>114.26093560689078</v>
      </c>
    </row>
    <row r="1028" spans="1:15" x14ac:dyDescent="0.2">
      <c r="A1028">
        <v>1026</v>
      </c>
      <c r="B1028" s="11">
        <f t="shared" si="66"/>
        <v>0</v>
      </c>
      <c r="C1028">
        <f ca="1">SUM($B$2:B1028)/A1028</f>
        <v>112.15631317679903</v>
      </c>
      <c r="E1028">
        <v>1026</v>
      </c>
      <c r="F1028" s="11">
        <f t="shared" si="67"/>
        <v>0</v>
      </c>
      <c r="G1028">
        <f ca="1">SUM($F$2:F1028)/E1028</f>
        <v>114.14957017257608</v>
      </c>
      <c r="I1028">
        <v>1026</v>
      </c>
      <c r="J1028">
        <f t="shared" si="68"/>
        <v>0</v>
      </c>
      <c r="K1028">
        <f ca="1">SUM($J$2:J1028)/I1028</f>
        <v>112.15631317679903</v>
      </c>
      <c r="M1028">
        <v>1026</v>
      </c>
      <c r="N1028">
        <f t="shared" si="69"/>
        <v>0</v>
      </c>
      <c r="O1028">
        <f ca="1">SUM($N$2:N1028)/M1028</f>
        <v>114.14957017257608</v>
      </c>
    </row>
    <row r="1029" spans="1:15" x14ac:dyDescent="0.2">
      <c r="A1029">
        <v>1027</v>
      </c>
      <c r="B1029" s="11">
        <f t="shared" si="66"/>
        <v>0</v>
      </c>
      <c r="C1029">
        <f ca="1">SUM($B$2:B1029)/A1029</f>
        <v>112.04710547166096</v>
      </c>
      <c r="E1029">
        <v>1027</v>
      </c>
      <c r="F1029" s="11">
        <f t="shared" si="67"/>
        <v>0</v>
      </c>
      <c r="G1029">
        <f ca="1">SUM($F$2:F1029)/E1029</f>
        <v>114.03842161349858</v>
      </c>
      <c r="I1029">
        <v>1027</v>
      </c>
      <c r="J1029">
        <f t="shared" si="68"/>
        <v>0</v>
      </c>
      <c r="K1029">
        <f ca="1">SUM($J$2:J1029)/I1029</f>
        <v>112.04710547166096</v>
      </c>
      <c r="M1029">
        <v>1027</v>
      </c>
      <c r="N1029">
        <f t="shared" si="69"/>
        <v>0</v>
      </c>
      <c r="O1029">
        <f ca="1">SUM($N$2:N1029)/M1029</f>
        <v>114.03842161349858</v>
      </c>
    </row>
    <row r="1030" spans="1:15" x14ac:dyDescent="0.2">
      <c r="A1030">
        <v>1028</v>
      </c>
      <c r="B1030" s="11">
        <f t="shared" si="66"/>
        <v>0</v>
      </c>
      <c r="C1030">
        <f ca="1">SUM($B$2:B1030)/A1030</f>
        <v>111.93811023287529</v>
      </c>
      <c r="E1030">
        <v>1028</v>
      </c>
      <c r="F1030" s="11">
        <f t="shared" si="67"/>
        <v>0</v>
      </c>
      <c r="G1030">
        <f ca="1">SUM($F$2:F1030)/E1030</f>
        <v>113.92748929675393</v>
      </c>
      <c r="I1030">
        <v>1028</v>
      </c>
      <c r="J1030">
        <f t="shared" si="68"/>
        <v>0</v>
      </c>
      <c r="K1030">
        <f ca="1">SUM($J$2:J1030)/I1030</f>
        <v>111.93811023287529</v>
      </c>
      <c r="M1030">
        <v>1028</v>
      </c>
      <c r="N1030">
        <f t="shared" si="69"/>
        <v>0</v>
      </c>
      <c r="O1030">
        <f ca="1">SUM($N$2:N1030)/M1030</f>
        <v>113.92748929675393</v>
      </c>
    </row>
    <row r="1031" spans="1:15" x14ac:dyDescent="0.2">
      <c r="A1031">
        <v>1029</v>
      </c>
      <c r="B1031" s="11">
        <f t="shared" si="66"/>
        <v>0</v>
      </c>
      <c r="C1031">
        <f ca="1">SUM($B$2:B1031)/A1031</f>
        <v>111.82932684100662</v>
      </c>
      <c r="E1031">
        <v>1029</v>
      </c>
      <c r="F1031" s="11">
        <f t="shared" si="67"/>
        <v>0</v>
      </c>
      <c r="G1031">
        <f ca="1">SUM($F$2:F1031)/E1031</f>
        <v>113.816772591898</v>
      </c>
      <c r="I1031">
        <v>1029</v>
      </c>
      <c r="J1031">
        <f t="shared" si="68"/>
        <v>0</v>
      </c>
      <c r="K1031">
        <f ca="1">SUM($J$2:J1031)/I1031</f>
        <v>111.82932684100662</v>
      </c>
      <c r="M1031">
        <v>1029</v>
      </c>
      <c r="N1031">
        <f t="shared" si="69"/>
        <v>0</v>
      </c>
      <c r="O1031">
        <f ca="1">SUM($N$2:N1031)/M1031</f>
        <v>113.816772591898</v>
      </c>
    </row>
    <row r="1032" spans="1:15" x14ac:dyDescent="0.2">
      <c r="A1032">
        <v>1030</v>
      </c>
      <c r="B1032" s="11">
        <f t="shared" si="66"/>
        <v>0</v>
      </c>
      <c r="C1032">
        <f ca="1">SUM($B$2:B1032)/A1032</f>
        <v>111.72075467902505</v>
      </c>
      <c r="E1032">
        <v>1030</v>
      </c>
      <c r="F1032" s="11">
        <f t="shared" si="67"/>
        <v>0</v>
      </c>
      <c r="G1032">
        <f ca="1">SUM($F$2:F1032)/E1032</f>
        <v>113.706270870935</v>
      </c>
      <c r="I1032">
        <v>1030</v>
      </c>
      <c r="J1032">
        <f t="shared" si="68"/>
        <v>0</v>
      </c>
      <c r="K1032">
        <f ca="1">SUM($J$2:J1032)/I1032</f>
        <v>111.72075467902505</v>
      </c>
      <c r="M1032">
        <v>1030</v>
      </c>
      <c r="N1032">
        <f t="shared" si="69"/>
        <v>0</v>
      </c>
      <c r="O1032">
        <f ca="1">SUM($N$2:N1032)/M1032</f>
        <v>113.706270870935</v>
      </c>
    </row>
    <row r="1033" spans="1:15" x14ac:dyDescent="0.2">
      <c r="A1033">
        <v>1031</v>
      </c>
      <c r="B1033" s="11">
        <f t="shared" si="66"/>
        <v>0</v>
      </c>
      <c r="C1033">
        <f ca="1">SUM($B$2:B1033)/A1033</f>
        <v>111.61239313229467</v>
      </c>
      <c r="E1033">
        <v>1031</v>
      </c>
      <c r="F1033" s="11">
        <f t="shared" si="67"/>
        <v>0</v>
      </c>
      <c r="G1033">
        <f ca="1">SUM($F$2:F1033)/E1033</f>
        <v>113.59598350830558</v>
      </c>
      <c r="I1033">
        <v>1031</v>
      </c>
      <c r="J1033">
        <f t="shared" si="68"/>
        <v>0</v>
      </c>
      <c r="K1033">
        <f ca="1">SUM($J$2:J1033)/I1033</f>
        <v>111.61239313229467</v>
      </c>
      <c r="M1033">
        <v>1031</v>
      </c>
      <c r="N1033">
        <f t="shared" si="69"/>
        <v>0</v>
      </c>
      <c r="O1033">
        <f ca="1">SUM($N$2:N1033)/M1033</f>
        <v>113.59598350830558</v>
      </c>
    </row>
    <row r="1034" spans="1:15" x14ac:dyDescent="0.2">
      <c r="A1034">
        <v>1032</v>
      </c>
      <c r="B1034" s="11">
        <f t="shared" si="66"/>
        <v>0</v>
      </c>
      <c r="C1034">
        <f ca="1">SUM($B$2:B1034)/A1034</f>
        <v>111.50424158856183</v>
      </c>
      <c r="E1034">
        <v>1032</v>
      </c>
      <c r="F1034" s="11">
        <f t="shared" si="67"/>
        <v>0</v>
      </c>
      <c r="G1034">
        <f ca="1">SUM($F$2:F1034)/E1034</f>
        <v>113.48590988087504</v>
      </c>
      <c r="I1034">
        <v>1032</v>
      </c>
      <c r="J1034">
        <f t="shared" si="68"/>
        <v>0</v>
      </c>
      <c r="K1034">
        <f ca="1">SUM($J$2:J1034)/I1034</f>
        <v>111.50424158856183</v>
      </c>
      <c r="M1034">
        <v>1032</v>
      </c>
      <c r="N1034">
        <f t="shared" si="69"/>
        <v>0</v>
      </c>
      <c r="O1034">
        <f ca="1">SUM($N$2:N1034)/M1034</f>
        <v>113.48590988087504</v>
      </c>
    </row>
    <row r="1035" spans="1:15" x14ac:dyDescent="0.2">
      <c r="A1035">
        <v>1033</v>
      </c>
      <c r="B1035" s="11">
        <f t="shared" si="66"/>
        <v>0</v>
      </c>
      <c r="C1035">
        <f ca="1">SUM($B$2:B1035)/A1035</f>
        <v>111.39629943794367</v>
      </c>
      <c r="E1035">
        <v>1033</v>
      </c>
      <c r="F1035" s="11">
        <f t="shared" si="67"/>
        <v>0</v>
      </c>
      <c r="G1035">
        <f ca="1">SUM($F$2:F1035)/E1035</f>
        <v>113.37604936792164</v>
      </c>
      <c r="I1035">
        <v>1033</v>
      </c>
      <c r="J1035">
        <f t="shared" si="68"/>
        <v>0</v>
      </c>
      <c r="K1035">
        <f ca="1">SUM($J$2:J1035)/I1035</f>
        <v>111.39629943794367</v>
      </c>
      <c r="M1035">
        <v>1033</v>
      </c>
      <c r="N1035">
        <f t="shared" si="69"/>
        <v>0</v>
      </c>
      <c r="O1035">
        <f ca="1">SUM($N$2:N1035)/M1035</f>
        <v>113.37604936792164</v>
      </c>
    </row>
    <row r="1036" spans="1:15" x14ac:dyDescent="0.2">
      <c r="A1036">
        <v>1034</v>
      </c>
      <c r="B1036" s="11">
        <f t="shared" si="66"/>
        <v>0</v>
      </c>
      <c r="C1036">
        <f ca="1">SUM($B$2:B1036)/A1036</f>
        <v>111.28856607291664</v>
      </c>
      <c r="E1036">
        <v>1034</v>
      </c>
      <c r="F1036" s="11">
        <f t="shared" si="67"/>
        <v>0</v>
      </c>
      <c r="G1036">
        <f ca="1">SUM($F$2:F1036)/E1036</f>
        <v>113.2664013511248</v>
      </c>
      <c r="I1036">
        <v>1034</v>
      </c>
      <c r="J1036">
        <f t="shared" si="68"/>
        <v>0</v>
      </c>
      <c r="K1036">
        <f ca="1">SUM($J$2:J1036)/I1036</f>
        <v>111.28856607291664</v>
      </c>
      <c r="M1036">
        <v>1034</v>
      </c>
      <c r="N1036">
        <f t="shared" si="69"/>
        <v>0</v>
      </c>
      <c r="O1036">
        <f ca="1">SUM($N$2:N1036)/M1036</f>
        <v>113.2664013511248</v>
      </c>
    </row>
    <row r="1037" spans="1:15" x14ac:dyDescent="0.2">
      <c r="A1037">
        <v>1035</v>
      </c>
      <c r="B1037" s="11">
        <f t="shared" si="66"/>
        <v>0</v>
      </c>
      <c r="C1037">
        <f ca="1">SUM($B$2:B1037)/A1037</f>
        <v>111.18104088830512</v>
      </c>
      <c r="E1037">
        <v>1035</v>
      </c>
      <c r="F1037" s="11">
        <f t="shared" si="67"/>
        <v>0</v>
      </c>
      <c r="G1037">
        <f ca="1">SUM($F$2:F1037)/E1037</f>
        <v>113.15696521455367</v>
      </c>
      <c r="I1037">
        <v>1035</v>
      </c>
      <c r="J1037">
        <f t="shared" si="68"/>
        <v>0</v>
      </c>
      <c r="K1037">
        <f ca="1">SUM($J$2:J1037)/I1037</f>
        <v>111.18104088830512</v>
      </c>
      <c r="M1037">
        <v>1035</v>
      </c>
      <c r="N1037">
        <f t="shared" si="69"/>
        <v>0</v>
      </c>
      <c r="O1037">
        <f ca="1">SUM($N$2:N1037)/M1037</f>
        <v>113.15696521455367</v>
      </c>
    </row>
    <row r="1038" spans="1:15" x14ac:dyDescent="0.2">
      <c r="A1038">
        <v>1036</v>
      </c>
      <c r="B1038" s="11">
        <f t="shared" si="66"/>
        <v>0</v>
      </c>
      <c r="C1038">
        <f ca="1">SUM($B$2:B1038)/A1038</f>
        <v>111.07372328127008</v>
      </c>
      <c r="E1038">
        <v>1036</v>
      </c>
      <c r="F1038" s="11">
        <f t="shared" si="67"/>
        <v>0</v>
      </c>
      <c r="G1038">
        <f ca="1">SUM($F$2:F1038)/E1038</f>
        <v>113.04774034465545</v>
      </c>
      <c r="I1038">
        <v>1036</v>
      </c>
      <c r="J1038">
        <f t="shared" si="68"/>
        <v>0</v>
      </c>
      <c r="K1038">
        <f ca="1">SUM($J$2:J1038)/I1038</f>
        <v>111.07372328127008</v>
      </c>
      <c r="M1038">
        <v>1036</v>
      </c>
      <c r="N1038">
        <f t="shared" si="69"/>
        <v>0</v>
      </c>
      <c r="O1038">
        <f ca="1">SUM($N$2:N1038)/M1038</f>
        <v>113.04774034465545</v>
      </c>
    </row>
    <row r="1039" spans="1:15" x14ac:dyDescent="0.2">
      <c r="A1039">
        <v>1037</v>
      </c>
      <c r="B1039" s="11">
        <f t="shared" si="66"/>
        <v>0</v>
      </c>
      <c r="C1039">
        <f ca="1">SUM($B$2:B1039)/A1039</f>
        <v>110.96661265129778</v>
      </c>
      <c r="E1039">
        <v>1037</v>
      </c>
      <c r="F1039" s="11">
        <f t="shared" si="67"/>
        <v>0</v>
      </c>
      <c r="G1039">
        <f ca="1">SUM($F$2:F1039)/E1039</f>
        <v>112.93872613024402</v>
      </c>
      <c r="I1039">
        <v>1037</v>
      </c>
      <c r="J1039">
        <f t="shared" si="68"/>
        <v>0</v>
      </c>
      <c r="K1039">
        <f ca="1">SUM($J$2:J1039)/I1039</f>
        <v>110.96661265129778</v>
      </c>
      <c r="M1039">
        <v>1037</v>
      </c>
      <c r="N1039">
        <f t="shared" si="69"/>
        <v>0</v>
      </c>
      <c r="O1039">
        <f ca="1">SUM($N$2:N1039)/M1039</f>
        <v>112.93872613024402</v>
      </c>
    </row>
    <row r="1040" spans="1:15" x14ac:dyDescent="0.2">
      <c r="A1040">
        <v>1038</v>
      </c>
      <c r="B1040" s="11">
        <f t="shared" si="66"/>
        <v>0</v>
      </c>
      <c r="C1040">
        <f ca="1">SUM($B$2:B1040)/A1040</f>
        <v>110.85970840018864</v>
      </c>
      <c r="E1040">
        <v>1038</v>
      </c>
      <c r="F1040" s="11">
        <f t="shared" si="67"/>
        <v>0</v>
      </c>
      <c r="G1040">
        <f ca="1">SUM($F$2:F1040)/E1040</f>
        <v>112.82992196248848</v>
      </c>
      <c r="I1040">
        <v>1038</v>
      </c>
      <c r="J1040">
        <f t="shared" si="68"/>
        <v>0</v>
      </c>
      <c r="K1040">
        <f ca="1">SUM($J$2:J1040)/I1040</f>
        <v>110.85970840018864</v>
      </c>
      <c r="M1040">
        <v>1038</v>
      </c>
      <c r="N1040">
        <f t="shared" si="69"/>
        <v>0</v>
      </c>
      <c r="O1040">
        <f ca="1">SUM($N$2:N1040)/M1040</f>
        <v>112.82992196248848</v>
      </c>
    </row>
    <row r="1041" spans="1:15" x14ac:dyDescent="0.2">
      <c r="A1041">
        <v>1039</v>
      </c>
      <c r="B1041" s="11">
        <f t="shared" si="66"/>
        <v>0</v>
      </c>
      <c r="C1041">
        <f ca="1">SUM($B$2:B1041)/A1041</f>
        <v>110.75300993204601</v>
      </c>
      <c r="E1041">
        <v>1039</v>
      </c>
      <c r="F1041" s="11">
        <f t="shared" si="67"/>
        <v>0</v>
      </c>
      <c r="G1041">
        <f ca="1">SUM($F$2:F1041)/E1041</f>
        <v>112.72132723490188</v>
      </c>
      <c r="I1041">
        <v>1039</v>
      </c>
      <c r="J1041">
        <f t="shared" si="68"/>
        <v>0</v>
      </c>
      <c r="K1041">
        <f ca="1">SUM($J$2:J1041)/I1041</f>
        <v>110.75300993204601</v>
      </c>
      <c r="M1041">
        <v>1039</v>
      </c>
      <c r="N1041">
        <f t="shared" si="69"/>
        <v>0</v>
      </c>
      <c r="O1041">
        <f ca="1">SUM($N$2:N1041)/M1041</f>
        <v>112.72132723490188</v>
      </c>
    </row>
    <row r="1042" spans="1:15" x14ac:dyDescent="0.2">
      <c r="A1042">
        <v>1040</v>
      </c>
      <c r="B1042" s="11">
        <f t="shared" si="66"/>
        <v>0</v>
      </c>
      <c r="C1042">
        <f ca="1">SUM($B$2:B1042)/A1042</f>
        <v>110.64651665326519</v>
      </c>
      <c r="E1042">
        <v>1040</v>
      </c>
      <c r="F1042" s="11">
        <f t="shared" si="67"/>
        <v>0</v>
      </c>
      <c r="G1042">
        <f ca="1">SUM($F$2:F1042)/E1042</f>
        <v>112.61294134332985</v>
      </c>
      <c r="I1042">
        <v>1040</v>
      </c>
      <c r="J1042">
        <f t="shared" si="68"/>
        <v>0</v>
      </c>
      <c r="K1042">
        <f ca="1">SUM($J$2:J1042)/I1042</f>
        <v>110.64651665326519</v>
      </c>
      <c r="M1042">
        <v>1040</v>
      </c>
      <c r="N1042">
        <f t="shared" si="69"/>
        <v>0</v>
      </c>
      <c r="O1042">
        <f ca="1">SUM($N$2:N1042)/M1042</f>
        <v>112.61294134332985</v>
      </c>
    </row>
    <row r="1043" spans="1:15" x14ac:dyDescent="0.2">
      <c r="A1043">
        <v>1041</v>
      </c>
      <c r="B1043" s="11">
        <f t="shared" si="66"/>
        <v>0</v>
      </c>
      <c r="C1043">
        <f ca="1">SUM($B$2:B1043)/A1043</f>
        <v>110.54022797252239</v>
      </c>
      <c r="E1043">
        <v>1041</v>
      </c>
      <c r="F1043" s="11">
        <f t="shared" si="67"/>
        <v>0</v>
      </c>
      <c r="G1043">
        <f ca="1">SUM($F$2:F1043)/E1043</f>
        <v>112.50476368593952</v>
      </c>
      <c r="I1043">
        <v>1041</v>
      </c>
      <c r="J1043">
        <f t="shared" si="68"/>
        <v>0</v>
      </c>
      <c r="K1043">
        <f ca="1">SUM($J$2:J1043)/I1043</f>
        <v>110.54022797252239</v>
      </c>
      <c r="M1043">
        <v>1041</v>
      </c>
      <c r="N1043">
        <f t="shared" si="69"/>
        <v>0</v>
      </c>
      <c r="O1043">
        <f ca="1">SUM($N$2:N1043)/M1043</f>
        <v>112.50476368593952</v>
      </c>
    </row>
    <row r="1044" spans="1:15" x14ac:dyDescent="0.2">
      <c r="A1044">
        <v>1042</v>
      </c>
      <c r="B1044" s="11">
        <f t="shared" si="66"/>
        <v>0</v>
      </c>
      <c r="C1044">
        <f ca="1">SUM($B$2:B1044)/A1044</f>
        <v>110.43414330076372</v>
      </c>
      <c r="E1044">
        <v>1042</v>
      </c>
      <c r="F1044" s="11">
        <f t="shared" si="67"/>
        <v>0</v>
      </c>
      <c r="G1044">
        <f ca="1">SUM($F$2:F1044)/E1044</f>
        <v>112.3967936632083</v>
      </c>
      <c r="I1044">
        <v>1042</v>
      </c>
      <c r="J1044">
        <f t="shared" si="68"/>
        <v>0</v>
      </c>
      <c r="K1044">
        <f ca="1">SUM($J$2:J1044)/I1044</f>
        <v>110.43414330076372</v>
      </c>
      <c r="M1044">
        <v>1042</v>
      </c>
      <c r="N1044">
        <f t="shared" si="69"/>
        <v>0</v>
      </c>
      <c r="O1044">
        <f ca="1">SUM($N$2:N1044)/M1044</f>
        <v>112.3967936632083</v>
      </c>
    </row>
    <row r="1045" spans="1:15" x14ac:dyDescent="0.2">
      <c r="A1045">
        <v>1043</v>
      </c>
      <c r="B1045" s="11">
        <f t="shared" si="66"/>
        <v>0</v>
      </c>
      <c r="C1045">
        <f ca="1">SUM($B$2:B1045)/A1045</f>
        <v>110.32826205119444</v>
      </c>
      <c r="E1045">
        <v>1043</v>
      </c>
      <c r="F1045" s="11">
        <f t="shared" si="67"/>
        <v>0</v>
      </c>
      <c r="G1045">
        <f ca="1">SUM($F$2:F1045)/E1045</f>
        <v>112.28903067791279</v>
      </c>
      <c r="I1045">
        <v>1043</v>
      </c>
      <c r="J1045">
        <f t="shared" si="68"/>
        <v>0</v>
      </c>
      <c r="K1045">
        <f ca="1">SUM($J$2:J1045)/I1045</f>
        <v>110.32826205119444</v>
      </c>
      <c r="M1045">
        <v>1043</v>
      </c>
      <c r="N1045">
        <f t="shared" si="69"/>
        <v>0</v>
      </c>
      <c r="O1045">
        <f ca="1">SUM($N$2:N1045)/M1045</f>
        <v>112.28903067791279</v>
      </c>
    </row>
    <row r="1046" spans="1:15" x14ac:dyDescent="0.2">
      <c r="A1046">
        <v>1044</v>
      </c>
      <c r="B1046" s="11">
        <f t="shared" si="66"/>
        <v>0</v>
      </c>
      <c r="C1046">
        <f ca="1">SUM($B$2:B1046)/A1046</f>
        <v>110.22258363926801</v>
      </c>
      <c r="E1046">
        <v>1044</v>
      </c>
      <c r="F1046" s="11">
        <f t="shared" si="67"/>
        <v>0</v>
      </c>
      <c r="G1046">
        <f ca="1">SUM($F$2:F1046)/E1046</f>
        <v>112.18147413511787</v>
      </c>
      <c r="I1046">
        <v>1044</v>
      </c>
      <c r="J1046">
        <f t="shared" si="68"/>
        <v>0</v>
      </c>
      <c r="K1046">
        <f ca="1">SUM($J$2:J1046)/I1046</f>
        <v>110.22258363926801</v>
      </c>
      <c r="M1046">
        <v>1044</v>
      </c>
      <c r="N1046">
        <f t="shared" si="69"/>
        <v>0</v>
      </c>
      <c r="O1046">
        <f ca="1">SUM($N$2:N1046)/M1046</f>
        <v>112.18147413511787</v>
      </c>
    </row>
    <row r="1047" spans="1:15" x14ac:dyDescent="0.2">
      <c r="A1047">
        <v>1045</v>
      </c>
      <c r="B1047" s="11">
        <f t="shared" si="66"/>
        <v>0</v>
      </c>
      <c r="C1047">
        <f ca="1">SUM($B$2:B1047)/A1047</f>
        <v>110.11710748267541</v>
      </c>
      <c r="E1047">
        <v>1045</v>
      </c>
      <c r="F1047" s="11">
        <f t="shared" si="67"/>
        <v>0</v>
      </c>
      <c r="G1047">
        <f ca="1">SUM($F$2:F1047)/E1047</f>
        <v>112.0741234421656</v>
      </c>
      <c r="I1047">
        <v>1045</v>
      </c>
      <c r="J1047">
        <f t="shared" si="68"/>
        <v>0</v>
      </c>
      <c r="K1047">
        <f ca="1">SUM($J$2:J1047)/I1047</f>
        <v>110.11710748267541</v>
      </c>
      <c r="M1047">
        <v>1045</v>
      </c>
      <c r="N1047">
        <f t="shared" si="69"/>
        <v>0</v>
      </c>
      <c r="O1047">
        <f ca="1">SUM($N$2:N1047)/M1047</f>
        <v>112.0741234421656</v>
      </c>
    </row>
    <row r="1048" spans="1:15" x14ac:dyDescent="0.2">
      <c r="A1048">
        <v>1046</v>
      </c>
      <c r="B1048" s="11">
        <f t="shared" si="66"/>
        <v>0</v>
      </c>
      <c r="C1048">
        <f ca="1">SUM($B$2:B1048)/A1048</f>
        <v>110.01183300133442</v>
      </c>
      <c r="E1048">
        <v>1046</v>
      </c>
      <c r="F1048" s="11">
        <f t="shared" si="67"/>
        <v>0</v>
      </c>
      <c r="G1048">
        <f ca="1">SUM($F$2:F1048)/E1048</f>
        <v>111.96697800866448</v>
      </c>
      <c r="I1048">
        <v>1046</v>
      </c>
      <c r="J1048">
        <f t="shared" si="68"/>
        <v>0</v>
      </c>
      <c r="K1048">
        <f ca="1">SUM($J$2:J1048)/I1048</f>
        <v>110.01183300133442</v>
      </c>
      <c r="M1048">
        <v>1046</v>
      </c>
      <c r="N1048">
        <f t="shared" si="69"/>
        <v>0</v>
      </c>
      <c r="O1048">
        <f ca="1">SUM($N$2:N1048)/M1048</f>
        <v>111.96697800866448</v>
      </c>
    </row>
    <row r="1049" spans="1:15" x14ac:dyDescent="0.2">
      <c r="A1049">
        <v>1047</v>
      </c>
      <c r="B1049" s="11">
        <f t="shared" si="66"/>
        <v>0</v>
      </c>
      <c r="C1049">
        <f ca="1">SUM($B$2:B1049)/A1049</f>
        <v>109.906759617379</v>
      </c>
      <c r="E1049">
        <v>1047</v>
      </c>
      <c r="F1049" s="11">
        <f t="shared" si="67"/>
        <v>0</v>
      </c>
      <c r="G1049">
        <f ca="1">SUM($F$2:F1049)/E1049</f>
        <v>111.86003724647856</v>
      </c>
      <c r="I1049">
        <v>1047</v>
      </c>
      <c r="J1049">
        <f t="shared" si="68"/>
        <v>0</v>
      </c>
      <c r="K1049">
        <f ca="1">SUM($J$2:J1049)/I1049</f>
        <v>109.906759617379</v>
      </c>
      <c r="M1049">
        <v>1047</v>
      </c>
      <c r="N1049">
        <f t="shared" si="69"/>
        <v>0</v>
      </c>
      <c r="O1049">
        <f ca="1">SUM($N$2:N1049)/M1049</f>
        <v>111.86003724647856</v>
      </c>
    </row>
    <row r="1050" spans="1:15" x14ac:dyDescent="0.2">
      <c r="A1050">
        <v>1048</v>
      </c>
      <c r="B1050" s="11">
        <f t="shared" si="66"/>
        <v>0</v>
      </c>
      <c r="C1050">
        <f ca="1">SUM($B$2:B1050)/A1050</f>
        <v>109.80188675514867</v>
      </c>
      <c r="E1050">
        <v>1048</v>
      </c>
      <c r="F1050" s="11">
        <f t="shared" si="67"/>
        <v>0</v>
      </c>
      <c r="G1050">
        <f ca="1">SUM($F$2:F1050)/E1050</f>
        <v>111.75330056971664</v>
      </c>
      <c r="I1050">
        <v>1048</v>
      </c>
      <c r="J1050">
        <f t="shared" si="68"/>
        <v>0</v>
      </c>
      <c r="K1050">
        <f ca="1">SUM($J$2:J1050)/I1050</f>
        <v>109.80188675514867</v>
      </c>
      <c r="M1050">
        <v>1048</v>
      </c>
      <c r="N1050">
        <f t="shared" si="69"/>
        <v>0</v>
      </c>
      <c r="O1050">
        <f ca="1">SUM($N$2:N1050)/M1050</f>
        <v>111.75330056971664</v>
      </c>
    </row>
    <row r="1051" spans="1:15" x14ac:dyDescent="0.2">
      <c r="A1051">
        <v>1049</v>
      </c>
      <c r="B1051" s="11">
        <f t="shared" si="66"/>
        <v>0</v>
      </c>
      <c r="C1051">
        <f ca="1">SUM($B$2:B1051)/A1051</f>
        <v>109.69721384117808</v>
      </c>
      <c r="E1051">
        <v>1049</v>
      </c>
      <c r="F1051" s="11">
        <f t="shared" si="67"/>
        <v>0</v>
      </c>
      <c r="G1051">
        <f ca="1">SUM($F$2:F1051)/E1051</f>
        <v>111.64676739472168</v>
      </c>
      <c r="I1051">
        <v>1049</v>
      </c>
      <c r="J1051">
        <f t="shared" si="68"/>
        <v>0</v>
      </c>
      <c r="K1051">
        <f ca="1">SUM($J$2:J1051)/I1051</f>
        <v>109.69721384117808</v>
      </c>
      <c r="M1051">
        <v>1049</v>
      </c>
      <c r="N1051">
        <f t="shared" si="69"/>
        <v>0</v>
      </c>
      <c r="O1051">
        <f ca="1">SUM($N$2:N1051)/M1051</f>
        <v>111.64676739472168</v>
      </c>
    </row>
    <row r="1052" spans="1:15" x14ac:dyDescent="0.2">
      <c r="A1052">
        <v>1050</v>
      </c>
      <c r="B1052" s="11">
        <f t="shared" si="66"/>
        <v>0</v>
      </c>
      <c r="C1052">
        <f ca="1">SUM($B$2:B1052)/A1052</f>
        <v>109.59274030418648</v>
      </c>
      <c r="E1052">
        <v>1050</v>
      </c>
      <c r="F1052" s="11">
        <f t="shared" si="67"/>
        <v>0</v>
      </c>
      <c r="G1052">
        <f ca="1">SUM($F$2:F1052)/E1052</f>
        <v>111.54043714006005</v>
      </c>
      <c r="I1052">
        <v>1050</v>
      </c>
      <c r="J1052">
        <f t="shared" si="68"/>
        <v>0</v>
      </c>
      <c r="K1052">
        <f ca="1">SUM($J$2:J1052)/I1052</f>
        <v>109.59274030418648</v>
      </c>
      <c r="M1052">
        <v>1050</v>
      </c>
      <c r="N1052">
        <f t="shared" si="69"/>
        <v>0</v>
      </c>
      <c r="O1052">
        <f ca="1">SUM($N$2:N1052)/M1052</f>
        <v>111.54043714006005</v>
      </c>
    </row>
    <row r="1053" spans="1:15" x14ac:dyDescent="0.2">
      <c r="A1053">
        <v>1051</v>
      </c>
      <c r="B1053" s="11">
        <f t="shared" si="66"/>
        <v>0</v>
      </c>
      <c r="C1053">
        <f ca="1">SUM($B$2:B1053)/A1053</f>
        <v>109.48846557506737</v>
      </c>
      <c r="E1053">
        <v>1051</v>
      </c>
      <c r="F1053" s="11">
        <f t="shared" si="67"/>
        <v>0</v>
      </c>
      <c r="G1053">
        <f ca="1">SUM($F$2:F1053)/E1053</f>
        <v>111.43430922651099</v>
      </c>
      <c r="I1053">
        <v>1051</v>
      </c>
      <c r="J1053">
        <f t="shared" si="68"/>
        <v>0</v>
      </c>
      <c r="K1053">
        <f ca="1">SUM($J$2:J1053)/I1053</f>
        <v>109.48846557506737</v>
      </c>
      <c r="M1053">
        <v>1051</v>
      </c>
      <c r="N1053">
        <f t="shared" si="69"/>
        <v>0</v>
      </c>
      <c r="O1053">
        <f ca="1">SUM($N$2:N1053)/M1053</f>
        <v>111.43430922651099</v>
      </c>
    </row>
    <row r="1054" spans="1:15" x14ac:dyDescent="0.2">
      <c r="A1054">
        <v>1052</v>
      </c>
      <c r="B1054" s="11">
        <f t="shared" si="66"/>
        <v>0</v>
      </c>
      <c r="C1054">
        <f ca="1">SUM($B$2:B1054)/A1054</f>
        <v>109.38438908687814</v>
      </c>
      <c r="E1054">
        <v>1052</v>
      </c>
      <c r="F1054" s="11">
        <f t="shared" si="67"/>
        <v>0</v>
      </c>
      <c r="G1054">
        <f ca="1">SUM($F$2:F1054)/E1054</f>
        <v>111.32838307705613</v>
      </c>
      <c r="I1054">
        <v>1052</v>
      </c>
      <c r="J1054">
        <f t="shared" si="68"/>
        <v>0</v>
      </c>
      <c r="K1054">
        <f ca="1">SUM($J$2:J1054)/I1054</f>
        <v>109.38438908687814</v>
      </c>
      <c r="M1054">
        <v>1052</v>
      </c>
      <c r="N1054">
        <f t="shared" si="69"/>
        <v>0</v>
      </c>
      <c r="O1054">
        <f ca="1">SUM($N$2:N1054)/M1054</f>
        <v>111.32838307705613</v>
      </c>
    </row>
    <row r="1055" spans="1:15" x14ac:dyDescent="0.2">
      <c r="A1055">
        <v>1053</v>
      </c>
      <c r="B1055" s="11">
        <f t="shared" si="66"/>
        <v>0</v>
      </c>
      <c r="C1055">
        <f ca="1">SUM($B$2:B1055)/A1055</f>
        <v>109.28051027482982</v>
      </c>
      <c r="E1055">
        <v>1053</v>
      </c>
      <c r="F1055" s="11">
        <f t="shared" si="67"/>
        <v>0</v>
      </c>
      <c r="G1055">
        <f ca="1">SUM($F$2:F1055)/E1055</f>
        <v>111.22265811686898</v>
      </c>
      <c r="I1055">
        <v>1053</v>
      </c>
      <c r="J1055">
        <f t="shared" si="68"/>
        <v>0</v>
      </c>
      <c r="K1055">
        <f ca="1">SUM($J$2:J1055)/I1055</f>
        <v>109.28051027482982</v>
      </c>
      <c r="M1055">
        <v>1053</v>
      </c>
      <c r="N1055">
        <f t="shared" si="69"/>
        <v>0</v>
      </c>
      <c r="O1055">
        <f ca="1">SUM($N$2:N1055)/M1055</f>
        <v>111.22265811686898</v>
      </c>
    </row>
    <row r="1056" spans="1:15" x14ac:dyDescent="0.2">
      <c r="A1056">
        <v>1054</v>
      </c>
      <c r="B1056" s="11">
        <f t="shared" si="66"/>
        <v>0</v>
      </c>
      <c r="C1056">
        <f ca="1">SUM($B$2:B1056)/A1056</f>
        <v>109.17682857627685</v>
      </c>
      <c r="E1056">
        <v>1054</v>
      </c>
      <c r="F1056" s="11">
        <f t="shared" si="67"/>
        <v>0</v>
      </c>
      <c r="G1056">
        <f ca="1">SUM($F$2:F1056)/E1056</f>
        <v>111.1171337733046</v>
      </c>
      <c r="I1056">
        <v>1054</v>
      </c>
      <c r="J1056">
        <f t="shared" si="68"/>
        <v>0</v>
      </c>
      <c r="K1056">
        <f ca="1">SUM($J$2:J1056)/I1056</f>
        <v>109.17682857627685</v>
      </c>
      <c r="M1056">
        <v>1054</v>
      </c>
      <c r="N1056">
        <f t="shared" si="69"/>
        <v>0</v>
      </c>
      <c r="O1056">
        <f ca="1">SUM($N$2:N1056)/M1056</f>
        <v>111.1171337733046</v>
      </c>
    </row>
    <row r="1057" spans="1:15" x14ac:dyDescent="0.2">
      <c r="A1057">
        <v>1055</v>
      </c>
      <c r="B1057" s="11">
        <f t="shared" si="66"/>
        <v>0</v>
      </c>
      <c r="C1057">
        <f ca="1">SUM($B$2:B1057)/A1057</f>
        <v>109.07334343070693</v>
      </c>
      <c r="E1057">
        <v>1055</v>
      </c>
      <c r="F1057" s="11">
        <f t="shared" si="67"/>
        <v>0</v>
      </c>
      <c r="G1057">
        <f ca="1">SUM($F$2:F1057)/E1057</f>
        <v>111.01180947588915</v>
      </c>
      <c r="I1057">
        <v>1055</v>
      </c>
      <c r="J1057">
        <f t="shared" si="68"/>
        <v>0</v>
      </c>
      <c r="K1057">
        <f ca="1">SUM($J$2:J1057)/I1057</f>
        <v>109.07334343070693</v>
      </c>
      <c r="M1057">
        <v>1055</v>
      </c>
      <c r="N1057">
        <f t="shared" si="69"/>
        <v>0</v>
      </c>
      <c r="O1057">
        <f ca="1">SUM($N$2:N1057)/M1057</f>
        <v>111.01180947588915</v>
      </c>
    </row>
    <row r="1058" spans="1:15" x14ac:dyDescent="0.2">
      <c r="A1058">
        <v>1056</v>
      </c>
      <c r="B1058" s="11">
        <f t="shared" si="66"/>
        <v>0</v>
      </c>
      <c r="C1058">
        <f ca="1">SUM($B$2:B1058)/A1058</f>
        <v>108.97005427973087</v>
      </c>
      <c r="E1058">
        <v>1056</v>
      </c>
      <c r="F1058" s="11">
        <f t="shared" si="67"/>
        <v>0</v>
      </c>
      <c r="G1058">
        <f ca="1">SUM($F$2:F1058)/E1058</f>
        <v>110.90668465630971</v>
      </c>
      <c r="I1058">
        <v>1056</v>
      </c>
      <c r="J1058">
        <f t="shared" si="68"/>
        <v>0</v>
      </c>
      <c r="K1058">
        <f ca="1">SUM($J$2:J1058)/I1058</f>
        <v>108.97005427973087</v>
      </c>
      <c r="M1058">
        <v>1056</v>
      </c>
      <c r="N1058">
        <f t="shared" si="69"/>
        <v>0</v>
      </c>
      <c r="O1058">
        <f ca="1">SUM($N$2:N1058)/M1058</f>
        <v>110.90668465630971</v>
      </c>
    </row>
    <row r="1059" spans="1:15" x14ac:dyDescent="0.2">
      <c r="A1059">
        <v>1057</v>
      </c>
      <c r="B1059" s="11">
        <f t="shared" si="66"/>
        <v>0</v>
      </c>
      <c r="C1059">
        <f ca="1">SUM($B$2:B1059)/A1059</f>
        <v>108.86696056707267</v>
      </c>
      <c r="E1059">
        <v>1057</v>
      </c>
      <c r="F1059" s="11">
        <f t="shared" si="67"/>
        <v>0</v>
      </c>
      <c r="G1059">
        <f ca="1">SUM($F$2:F1059)/E1059</f>
        <v>110.80175874840401</v>
      </c>
      <c r="I1059">
        <v>1057</v>
      </c>
      <c r="J1059">
        <f t="shared" si="68"/>
        <v>0</v>
      </c>
      <c r="K1059">
        <f ca="1">SUM($J$2:J1059)/I1059</f>
        <v>108.86696056707267</v>
      </c>
      <c r="M1059">
        <v>1057</v>
      </c>
      <c r="N1059">
        <f t="shared" si="69"/>
        <v>0</v>
      </c>
      <c r="O1059">
        <f ca="1">SUM($N$2:N1059)/M1059</f>
        <v>110.80175874840401</v>
      </c>
    </row>
    <row r="1060" spans="1:15" x14ac:dyDescent="0.2">
      <c r="A1060">
        <v>1058</v>
      </c>
      <c r="B1060" s="11">
        <f t="shared" si="66"/>
        <v>0</v>
      </c>
      <c r="C1060">
        <f ca="1">SUM($B$2:B1060)/A1060</f>
        <v>108.76406173855936</v>
      </c>
      <c r="E1060">
        <v>1058</v>
      </c>
      <c r="F1060" s="11">
        <f t="shared" si="67"/>
        <v>0</v>
      </c>
      <c r="G1060">
        <f ca="1">SUM($F$2:F1060)/E1060</f>
        <v>110.69703118815033</v>
      </c>
      <c r="I1060">
        <v>1058</v>
      </c>
      <c r="J1060">
        <f t="shared" si="68"/>
        <v>0</v>
      </c>
      <c r="K1060">
        <f ca="1">SUM($J$2:J1060)/I1060</f>
        <v>108.76406173855936</v>
      </c>
      <c r="M1060">
        <v>1058</v>
      </c>
      <c r="N1060">
        <f t="shared" si="69"/>
        <v>0</v>
      </c>
      <c r="O1060">
        <f ca="1">SUM($N$2:N1060)/M1060</f>
        <v>110.69703118815033</v>
      </c>
    </row>
    <row r="1061" spans="1:15" x14ac:dyDescent="0.2">
      <c r="A1061">
        <v>1059</v>
      </c>
      <c r="B1061" s="11">
        <f t="shared" si="66"/>
        <v>0</v>
      </c>
      <c r="C1061">
        <f ca="1">SUM($B$2:B1061)/A1061</f>
        <v>108.66135724211124</v>
      </c>
      <c r="E1061">
        <v>1059</v>
      </c>
      <c r="F1061" s="11">
        <f t="shared" si="67"/>
        <v>0</v>
      </c>
      <c r="G1061">
        <f ca="1">SUM($F$2:F1061)/E1061</f>
        <v>110.59250141365727</v>
      </c>
      <c r="I1061">
        <v>1059</v>
      </c>
      <c r="J1061">
        <f t="shared" si="68"/>
        <v>0</v>
      </c>
      <c r="K1061">
        <f ca="1">SUM($J$2:J1061)/I1061</f>
        <v>108.66135724211124</v>
      </c>
      <c r="M1061">
        <v>1059</v>
      </c>
      <c r="N1061">
        <f t="shared" si="69"/>
        <v>0</v>
      </c>
      <c r="O1061">
        <f ca="1">SUM($N$2:N1061)/M1061</f>
        <v>110.59250141365727</v>
      </c>
    </row>
    <row r="1062" spans="1:15" x14ac:dyDescent="0.2">
      <c r="A1062">
        <v>1060</v>
      </c>
      <c r="B1062" s="11">
        <f t="shared" si="66"/>
        <v>0</v>
      </c>
      <c r="C1062">
        <f ca="1">SUM($B$2:B1062)/A1062</f>
        <v>108.55884652773189</v>
      </c>
      <c r="E1062">
        <v>1060</v>
      </c>
      <c r="F1062" s="11">
        <f t="shared" si="67"/>
        <v>0</v>
      </c>
      <c r="G1062">
        <f ca="1">SUM($F$2:F1062)/E1062</f>
        <v>110.48816886515382</v>
      </c>
      <c r="I1062">
        <v>1060</v>
      </c>
      <c r="J1062">
        <f t="shared" si="68"/>
        <v>0</v>
      </c>
      <c r="K1062">
        <f ca="1">SUM($J$2:J1062)/I1062</f>
        <v>108.55884652773189</v>
      </c>
      <c r="M1062">
        <v>1060</v>
      </c>
      <c r="N1062">
        <f t="shared" si="69"/>
        <v>0</v>
      </c>
      <c r="O1062">
        <f ca="1">SUM($N$2:N1062)/M1062</f>
        <v>110.48816886515382</v>
      </c>
    </row>
    <row r="1063" spans="1:15" x14ac:dyDescent="0.2">
      <c r="A1063">
        <v>1061</v>
      </c>
      <c r="B1063" s="11">
        <f t="shared" si="66"/>
        <v>0</v>
      </c>
      <c r="C1063">
        <f ca="1">SUM($B$2:B1063)/A1063</f>
        <v>108.45652904749841</v>
      </c>
      <c r="E1063">
        <v>1061</v>
      </c>
      <c r="F1063" s="11">
        <f t="shared" si="67"/>
        <v>0</v>
      </c>
      <c r="G1063">
        <f ca="1">SUM($F$2:F1063)/E1063</f>
        <v>110.38403298497931</v>
      </c>
      <c r="I1063">
        <v>1061</v>
      </c>
      <c r="J1063">
        <f t="shared" si="68"/>
        <v>0</v>
      </c>
      <c r="K1063">
        <f ca="1">SUM($J$2:J1063)/I1063</f>
        <v>108.45652904749841</v>
      </c>
      <c r="M1063">
        <v>1061</v>
      </c>
      <c r="N1063">
        <f t="shared" si="69"/>
        <v>0</v>
      </c>
      <c r="O1063">
        <f ca="1">SUM($N$2:N1063)/M1063</f>
        <v>110.38403298497931</v>
      </c>
    </row>
    <row r="1064" spans="1:15" x14ac:dyDescent="0.2">
      <c r="A1064">
        <v>1062</v>
      </c>
      <c r="B1064" s="11">
        <f t="shared" si="66"/>
        <v>0</v>
      </c>
      <c r="C1064">
        <f ca="1">SUM($B$2:B1064)/A1064</f>
        <v>108.3544042555516</v>
      </c>
      <c r="E1064">
        <v>1062</v>
      </c>
      <c r="F1064" s="11">
        <f t="shared" si="67"/>
        <v>0</v>
      </c>
      <c r="G1064">
        <f ca="1">SUM($F$2:F1064)/E1064</f>
        <v>110.28009321757349</v>
      </c>
      <c r="I1064">
        <v>1062</v>
      </c>
      <c r="J1064">
        <f t="shared" si="68"/>
        <v>0</v>
      </c>
      <c r="K1064">
        <f ca="1">SUM($J$2:J1064)/I1064</f>
        <v>108.3544042555516</v>
      </c>
      <c r="M1064">
        <v>1062</v>
      </c>
      <c r="N1064">
        <f t="shared" si="69"/>
        <v>0</v>
      </c>
      <c r="O1064">
        <f ca="1">SUM($N$2:N1064)/M1064</f>
        <v>110.28009321757349</v>
      </c>
    </row>
    <row r="1065" spans="1:15" x14ac:dyDescent="0.2">
      <c r="A1065">
        <v>1063</v>
      </c>
      <c r="B1065" s="11">
        <f t="shared" si="66"/>
        <v>0</v>
      </c>
      <c r="C1065">
        <f ca="1">SUM($B$2:B1065)/A1065</f>
        <v>108.25247160808637</v>
      </c>
      <c r="E1065">
        <v>1063</v>
      </c>
      <c r="F1065" s="11">
        <f t="shared" si="67"/>
        <v>0</v>
      </c>
      <c r="G1065">
        <f ca="1">SUM($F$2:F1065)/E1065</f>
        <v>110.17634900946665</v>
      </c>
      <c r="I1065">
        <v>1063</v>
      </c>
      <c r="J1065">
        <f t="shared" si="68"/>
        <v>0</v>
      </c>
      <c r="K1065">
        <f ca="1">SUM($J$2:J1065)/I1065</f>
        <v>108.25247160808637</v>
      </c>
      <c r="M1065">
        <v>1063</v>
      </c>
      <c r="N1065">
        <f t="shared" si="69"/>
        <v>0</v>
      </c>
      <c r="O1065">
        <f ca="1">SUM($N$2:N1065)/M1065</f>
        <v>110.17634900946665</v>
      </c>
    </row>
    <row r="1066" spans="1:15" x14ac:dyDescent="0.2">
      <c r="A1066">
        <v>1064</v>
      </c>
      <c r="B1066" s="11">
        <f t="shared" si="66"/>
        <v>0</v>
      </c>
      <c r="C1066">
        <f ca="1">SUM($B$2:B1066)/A1066</f>
        <v>108.15073056334192</v>
      </c>
      <c r="E1066">
        <v>1064</v>
      </c>
      <c r="F1066" s="11">
        <f t="shared" si="67"/>
        <v>0</v>
      </c>
      <c r="G1066">
        <f ca="1">SUM($F$2:F1066)/E1066</f>
        <v>110.07279980926978</v>
      </c>
      <c r="I1066">
        <v>1064</v>
      </c>
      <c r="J1066">
        <f t="shared" si="68"/>
        <v>0</v>
      </c>
      <c r="K1066">
        <f ca="1">SUM($J$2:J1066)/I1066</f>
        <v>108.15073056334192</v>
      </c>
      <c r="M1066">
        <v>1064</v>
      </c>
      <c r="N1066">
        <f t="shared" si="69"/>
        <v>0</v>
      </c>
      <c r="O1066">
        <f ca="1">SUM($N$2:N1066)/M1066</f>
        <v>110.07279980926978</v>
      </c>
    </row>
    <row r="1067" spans="1:15" x14ac:dyDescent="0.2">
      <c r="A1067">
        <v>1065</v>
      </c>
      <c r="B1067" s="11">
        <f t="shared" si="66"/>
        <v>0</v>
      </c>
      <c r="C1067">
        <f ca="1">SUM($B$2:B1067)/A1067</f>
        <v>108.04918058159231</v>
      </c>
      <c r="E1067">
        <v>1065</v>
      </c>
      <c r="F1067" s="11">
        <f t="shared" si="67"/>
        <v>0</v>
      </c>
      <c r="G1067">
        <f ca="1">SUM($F$2:F1067)/E1067</f>
        <v>109.96944506766484</v>
      </c>
      <c r="I1067">
        <v>1065</v>
      </c>
      <c r="J1067">
        <f t="shared" si="68"/>
        <v>0</v>
      </c>
      <c r="K1067">
        <f ca="1">SUM($J$2:J1067)/I1067</f>
        <v>108.04918058159231</v>
      </c>
      <c r="M1067">
        <v>1065</v>
      </c>
      <c r="N1067">
        <f t="shared" si="69"/>
        <v>0</v>
      </c>
      <c r="O1067">
        <f ca="1">SUM($N$2:N1067)/M1067</f>
        <v>109.96944506766484</v>
      </c>
    </row>
    <row r="1068" spans="1:15" x14ac:dyDescent="0.2">
      <c r="A1068">
        <v>1066</v>
      </c>
      <c r="B1068" s="11">
        <f t="shared" si="66"/>
        <v>0</v>
      </c>
      <c r="C1068">
        <f ca="1">SUM($B$2:B1068)/A1068</f>
        <v>107.94782112513678</v>
      </c>
      <c r="E1068">
        <v>1066</v>
      </c>
      <c r="F1068" s="11">
        <f t="shared" si="67"/>
        <v>0</v>
      </c>
      <c r="G1068">
        <f ca="1">SUM($F$2:F1068)/E1068</f>
        <v>109.86628423739498</v>
      </c>
      <c r="I1068">
        <v>1066</v>
      </c>
      <c r="J1068">
        <f t="shared" si="68"/>
        <v>0</v>
      </c>
      <c r="K1068">
        <f ca="1">SUM($J$2:J1068)/I1068</f>
        <v>107.94782112513678</v>
      </c>
      <c r="M1068">
        <v>1066</v>
      </c>
      <c r="N1068">
        <f t="shared" si="69"/>
        <v>0</v>
      </c>
      <c r="O1068">
        <f ca="1">SUM($N$2:N1068)/M1068</f>
        <v>109.86628423739498</v>
      </c>
    </row>
    <row r="1069" spans="1:15" x14ac:dyDescent="0.2">
      <c r="A1069">
        <v>1067</v>
      </c>
      <c r="B1069" s="11">
        <f t="shared" si="66"/>
        <v>0</v>
      </c>
      <c r="C1069">
        <f ca="1">SUM($B$2:B1069)/A1069</f>
        <v>107.84665165829036</v>
      </c>
      <c r="E1069">
        <v>1067</v>
      </c>
      <c r="F1069" s="11">
        <f t="shared" si="67"/>
        <v>0</v>
      </c>
      <c r="G1069">
        <f ca="1">SUM($F$2:F1069)/E1069</f>
        <v>109.76331677325497</v>
      </c>
      <c r="I1069">
        <v>1067</v>
      </c>
      <c r="J1069">
        <f t="shared" si="68"/>
        <v>0</v>
      </c>
      <c r="K1069">
        <f ca="1">SUM($J$2:J1069)/I1069</f>
        <v>107.84665165829036</v>
      </c>
      <c r="M1069">
        <v>1067</v>
      </c>
      <c r="N1069">
        <f t="shared" si="69"/>
        <v>0</v>
      </c>
      <c r="O1069">
        <f ca="1">SUM($N$2:N1069)/M1069</f>
        <v>109.76331677325497</v>
      </c>
    </row>
    <row r="1070" spans="1:15" x14ac:dyDescent="0.2">
      <c r="A1070">
        <v>1068</v>
      </c>
      <c r="B1070" s="11">
        <f t="shared" si="66"/>
        <v>0</v>
      </c>
      <c r="C1070">
        <f ca="1">SUM($B$2:B1070)/A1070</f>
        <v>107.74567164737435</v>
      </c>
      <c r="E1070">
        <v>1068</v>
      </c>
      <c r="F1070" s="11">
        <f t="shared" si="67"/>
        <v>0</v>
      </c>
      <c r="G1070">
        <f ca="1">SUM($F$2:F1070)/E1070</f>
        <v>109.6605421320815</v>
      </c>
      <c r="I1070">
        <v>1068</v>
      </c>
      <c r="J1070">
        <f t="shared" si="68"/>
        <v>0</v>
      </c>
      <c r="K1070">
        <f ca="1">SUM($J$2:J1070)/I1070</f>
        <v>107.74567164737435</v>
      </c>
      <c r="M1070">
        <v>1068</v>
      </c>
      <c r="N1070">
        <f t="shared" si="69"/>
        <v>0</v>
      </c>
      <c r="O1070">
        <f ca="1">SUM($N$2:N1070)/M1070</f>
        <v>109.6605421320815</v>
      </c>
    </row>
    <row r="1071" spans="1:15" x14ac:dyDescent="0.2">
      <c r="A1071">
        <v>1069</v>
      </c>
      <c r="B1071" s="11">
        <f t="shared" si="66"/>
        <v>0</v>
      </c>
      <c r="C1071">
        <f ca="1">SUM($B$2:B1071)/A1071</f>
        <v>107.64488056070702</v>
      </c>
      <c r="E1071">
        <v>1069</v>
      </c>
      <c r="F1071" s="11">
        <f t="shared" si="67"/>
        <v>0</v>
      </c>
      <c r="G1071">
        <f ca="1">SUM($F$2:F1071)/E1071</f>
        <v>109.55795977274373</v>
      </c>
      <c r="I1071">
        <v>1069</v>
      </c>
      <c r="J1071">
        <f t="shared" si="68"/>
        <v>0</v>
      </c>
      <c r="K1071">
        <f ca="1">SUM($J$2:J1071)/I1071</f>
        <v>107.64488056070702</v>
      </c>
      <c r="M1071">
        <v>1069</v>
      </c>
      <c r="N1071">
        <f t="shared" si="69"/>
        <v>0</v>
      </c>
      <c r="O1071">
        <f ca="1">SUM($N$2:N1071)/M1071</f>
        <v>109.55795977274373</v>
      </c>
    </row>
    <row r="1072" spans="1:15" x14ac:dyDescent="0.2">
      <c r="A1072">
        <v>1070</v>
      </c>
      <c r="B1072" s="11">
        <f t="shared" si="66"/>
        <v>0</v>
      </c>
      <c r="C1072">
        <f ca="1">SUM($B$2:B1072)/A1072</f>
        <v>107.54427786859421</v>
      </c>
      <c r="E1072">
        <v>1070</v>
      </c>
      <c r="F1072" s="11">
        <f t="shared" si="67"/>
        <v>0</v>
      </c>
      <c r="G1072">
        <f ca="1">SUM($F$2:F1072)/E1072</f>
        <v>109.45556915613369</v>
      </c>
      <c r="I1072">
        <v>1070</v>
      </c>
      <c r="J1072">
        <f t="shared" si="68"/>
        <v>0</v>
      </c>
      <c r="K1072">
        <f ca="1">SUM($J$2:J1072)/I1072</f>
        <v>107.54427786859421</v>
      </c>
      <c r="M1072">
        <v>1070</v>
      </c>
      <c r="N1072">
        <f t="shared" si="69"/>
        <v>0</v>
      </c>
      <c r="O1072">
        <f ca="1">SUM($N$2:N1072)/M1072</f>
        <v>109.45556915613369</v>
      </c>
    </row>
    <row r="1073" spans="1:15" x14ac:dyDescent="0.2">
      <c r="A1073">
        <v>1071</v>
      </c>
      <c r="B1073" s="11">
        <f t="shared" si="66"/>
        <v>0</v>
      </c>
      <c r="C1073">
        <f ca="1">SUM($B$2:B1073)/A1073</f>
        <v>107.44386304332008</v>
      </c>
      <c r="E1073">
        <v>1071</v>
      </c>
      <c r="F1073" s="11">
        <f t="shared" si="67"/>
        <v>0</v>
      </c>
      <c r="G1073">
        <f ca="1">SUM($F$2:F1073)/E1073</f>
        <v>109.35336974515691</v>
      </c>
      <c r="I1073">
        <v>1071</v>
      </c>
      <c r="J1073">
        <f t="shared" si="68"/>
        <v>0</v>
      </c>
      <c r="K1073">
        <f ca="1">SUM($J$2:J1073)/I1073</f>
        <v>107.44386304332008</v>
      </c>
      <c r="M1073">
        <v>1071</v>
      </c>
      <c r="N1073">
        <f t="shared" si="69"/>
        <v>0</v>
      </c>
      <c r="O1073">
        <f ca="1">SUM($N$2:N1073)/M1073</f>
        <v>109.35336974515691</v>
      </c>
    </row>
    <row r="1074" spans="1:15" x14ac:dyDescent="0.2">
      <c r="A1074">
        <v>1072</v>
      </c>
      <c r="B1074" s="11">
        <f t="shared" si="66"/>
        <v>0</v>
      </c>
      <c r="C1074">
        <f ca="1">SUM($B$2:B1074)/A1074</f>
        <v>107.34363555913788</v>
      </c>
      <c r="E1074">
        <v>1072</v>
      </c>
      <c r="F1074" s="11">
        <f t="shared" si="67"/>
        <v>0</v>
      </c>
      <c r="G1074">
        <f ca="1">SUM($F$2:F1074)/E1074</f>
        <v>109.25136100472299</v>
      </c>
      <c r="I1074">
        <v>1072</v>
      </c>
      <c r="J1074">
        <f t="shared" si="68"/>
        <v>0</v>
      </c>
      <c r="K1074">
        <f ca="1">SUM($J$2:J1074)/I1074</f>
        <v>107.34363555913788</v>
      </c>
      <c r="M1074">
        <v>1072</v>
      </c>
      <c r="N1074">
        <f t="shared" si="69"/>
        <v>0</v>
      </c>
      <c r="O1074">
        <f ca="1">SUM($N$2:N1074)/M1074</f>
        <v>109.25136100472299</v>
      </c>
    </row>
    <row r="1075" spans="1:15" x14ac:dyDescent="0.2">
      <c r="A1075">
        <v>1073</v>
      </c>
      <c r="B1075" s="11">
        <f t="shared" si="66"/>
        <v>0</v>
      </c>
      <c r="C1075">
        <f ca="1">SUM($B$2:B1075)/A1075</f>
        <v>107.24359489226077</v>
      </c>
      <c r="E1075">
        <v>1073</v>
      </c>
      <c r="F1075" s="11">
        <f t="shared" si="67"/>
        <v>0</v>
      </c>
      <c r="G1075">
        <f ca="1">SUM($F$2:F1075)/E1075</f>
        <v>109.1495424017363</v>
      </c>
      <c r="I1075">
        <v>1073</v>
      </c>
      <c r="J1075">
        <f t="shared" si="68"/>
        <v>0</v>
      </c>
      <c r="K1075">
        <f ca="1">SUM($J$2:J1075)/I1075</f>
        <v>107.24359489226077</v>
      </c>
      <c r="M1075">
        <v>1073</v>
      </c>
      <c r="N1075">
        <f t="shared" si="69"/>
        <v>0</v>
      </c>
      <c r="O1075">
        <f ca="1">SUM($N$2:N1075)/M1075</f>
        <v>109.1495424017363</v>
      </c>
    </row>
    <row r="1076" spans="1:15" x14ac:dyDescent="0.2">
      <c r="A1076">
        <v>1074</v>
      </c>
      <c r="B1076" s="11">
        <f t="shared" si="66"/>
        <v>0</v>
      </c>
      <c r="C1076">
        <f ca="1">SUM($B$2:B1076)/A1076</f>
        <v>107.1437405208527</v>
      </c>
      <c r="E1076">
        <v>1074</v>
      </c>
      <c r="F1076" s="11">
        <f t="shared" si="67"/>
        <v>0</v>
      </c>
      <c r="G1076">
        <f ca="1">SUM($F$2:F1076)/E1076</f>
        <v>109.04791340508663</v>
      </c>
      <c r="I1076">
        <v>1074</v>
      </c>
      <c r="J1076">
        <f t="shared" si="68"/>
        <v>0</v>
      </c>
      <c r="K1076">
        <f ca="1">SUM($J$2:J1076)/I1076</f>
        <v>107.1437405208527</v>
      </c>
      <c r="M1076">
        <v>1074</v>
      </c>
      <c r="N1076">
        <f t="shared" si="69"/>
        <v>0</v>
      </c>
      <c r="O1076">
        <f ca="1">SUM($N$2:N1076)/M1076</f>
        <v>109.04791340508663</v>
      </c>
    </row>
    <row r="1077" spans="1:15" x14ac:dyDescent="0.2">
      <c r="A1077">
        <v>1075</v>
      </c>
      <c r="B1077" s="11">
        <f t="shared" si="66"/>
        <v>0</v>
      </c>
      <c r="C1077">
        <f ca="1">SUM($B$2:B1077)/A1077</f>
        <v>107.04407192501935</v>
      </c>
      <c r="E1077">
        <v>1075</v>
      </c>
      <c r="F1077" s="11">
        <f t="shared" si="67"/>
        <v>0</v>
      </c>
      <c r="G1077">
        <f ca="1">SUM($F$2:F1077)/E1077</f>
        <v>108.94647348564004</v>
      </c>
      <c r="I1077">
        <v>1075</v>
      </c>
      <c r="J1077">
        <f t="shared" si="68"/>
        <v>0</v>
      </c>
      <c r="K1077">
        <f ca="1">SUM($J$2:J1077)/I1077</f>
        <v>107.04407192501935</v>
      </c>
      <c r="M1077">
        <v>1075</v>
      </c>
      <c r="N1077">
        <f t="shared" si="69"/>
        <v>0</v>
      </c>
      <c r="O1077">
        <f ca="1">SUM($N$2:N1077)/M1077</f>
        <v>108.94647348564004</v>
      </c>
    </row>
    <row r="1078" spans="1:15" x14ac:dyDescent="0.2">
      <c r="A1078">
        <v>1076</v>
      </c>
      <c r="B1078" s="11">
        <f t="shared" si="66"/>
        <v>0</v>
      </c>
      <c r="C1078">
        <f ca="1">SUM($B$2:B1078)/A1078</f>
        <v>106.94458858679907</v>
      </c>
      <c r="E1078">
        <v>1076</v>
      </c>
      <c r="F1078" s="11">
        <f t="shared" si="67"/>
        <v>0</v>
      </c>
      <c r="G1078">
        <f ca="1">SUM($F$2:F1078)/E1078</f>
        <v>108.84522211622959</v>
      </c>
      <c r="I1078">
        <v>1076</v>
      </c>
      <c r="J1078">
        <f t="shared" si="68"/>
        <v>0</v>
      </c>
      <c r="K1078">
        <f ca="1">SUM($J$2:J1078)/I1078</f>
        <v>106.94458858679907</v>
      </c>
      <c r="M1078">
        <v>1076</v>
      </c>
      <c r="N1078">
        <f t="shared" si="69"/>
        <v>0</v>
      </c>
      <c r="O1078">
        <f ca="1">SUM($N$2:N1078)/M1078</f>
        <v>108.84522211622959</v>
      </c>
    </row>
    <row r="1079" spans="1:15" x14ac:dyDescent="0.2">
      <c r="A1079">
        <v>1077</v>
      </c>
      <c r="B1079" s="11">
        <f t="shared" si="66"/>
        <v>0</v>
      </c>
      <c r="C1079">
        <f ca="1">SUM($B$2:B1079)/A1079</f>
        <v>106.84528999015394</v>
      </c>
      <c r="E1079">
        <v>1077</v>
      </c>
      <c r="F1079" s="11">
        <f t="shared" si="67"/>
        <v>0</v>
      </c>
      <c r="G1079">
        <f ca="1">SUM($F$2:F1079)/E1079</f>
        <v>108.74415877164628</v>
      </c>
      <c r="I1079">
        <v>1077</v>
      </c>
      <c r="J1079">
        <f t="shared" si="68"/>
        <v>0</v>
      </c>
      <c r="K1079">
        <f ca="1">SUM($J$2:J1079)/I1079</f>
        <v>106.84528999015394</v>
      </c>
      <c r="M1079">
        <v>1077</v>
      </c>
      <c r="N1079">
        <f t="shared" si="69"/>
        <v>0</v>
      </c>
      <c r="O1079">
        <f ca="1">SUM($N$2:N1079)/M1079</f>
        <v>108.74415877164628</v>
      </c>
    </row>
    <row r="1080" spans="1:15" x14ac:dyDescent="0.2">
      <c r="A1080">
        <v>1078</v>
      </c>
      <c r="B1080" s="11">
        <f t="shared" si="66"/>
        <v>0</v>
      </c>
      <c r="C1080">
        <f ca="1">SUM($B$2:B1080)/A1080</f>
        <v>106.74617562096086</v>
      </c>
      <c r="E1080">
        <v>1078</v>
      </c>
      <c r="F1080" s="11">
        <f t="shared" si="67"/>
        <v>0</v>
      </c>
      <c r="G1080">
        <f ca="1">SUM($F$2:F1080)/E1080</f>
        <v>108.64328292862992</v>
      </c>
      <c r="I1080">
        <v>1078</v>
      </c>
      <c r="J1080">
        <f t="shared" si="68"/>
        <v>0</v>
      </c>
      <c r="K1080">
        <f ca="1">SUM($J$2:J1080)/I1080</f>
        <v>106.74617562096086</v>
      </c>
      <c r="M1080">
        <v>1078</v>
      </c>
      <c r="N1080">
        <f t="shared" si="69"/>
        <v>0</v>
      </c>
      <c r="O1080">
        <f ca="1">SUM($N$2:N1080)/M1080</f>
        <v>108.64328292862992</v>
      </c>
    </row>
    <row r="1081" spans="1:15" x14ac:dyDescent="0.2">
      <c r="A1081">
        <v>1079</v>
      </c>
      <c r="B1081" s="11">
        <f t="shared" si="66"/>
        <v>0</v>
      </c>
      <c r="C1081">
        <f ca="1">SUM($B$2:B1081)/A1081</f>
        <v>106.64724496700259</v>
      </c>
      <c r="E1081">
        <v>1079</v>
      </c>
      <c r="F1081" s="11">
        <f t="shared" si="67"/>
        <v>0</v>
      </c>
      <c r="G1081">
        <f ca="1">SUM($F$2:F1081)/E1081</f>
        <v>108.5425940658601</v>
      </c>
      <c r="I1081">
        <v>1079</v>
      </c>
      <c r="J1081">
        <f t="shared" si="68"/>
        <v>0</v>
      </c>
      <c r="K1081">
        <f ca="1">SUM($J$2:J1081)/I1081</f>
        <v>106.64724496700259</v>
      </c>
      <c r="M1081">
        <v>1079</v>
      </c>
      <c r="N1081">
        <f t="shared" si="69"/>
        <v>0</v>
      </c>
      <c r="O1081">
        <f ca="1">SUM($N$2:N1081)/M1081</f>
        <v>108.5425940658601</v>
      </c>
    </row>
    <row r="1082" spans="1:15" x14ac:dyDescent="0.2">
      <c r="A1082">
        <v>1080</v>
      </c>
      <c r="B1082" s="11">
        <f t="shared" ca="1" si="66"/>
        <v>0</v>
      </c>
      <c r="C1082">
        <f ca="1">SUM($B$2:B1082)/A1082</f>
        <v>106.54849751795908</v>
      </c>
      <c r="E1082">
        <v>1080</v>
      </c>
      <c r="F1082" s="11">
        <f t="shared" ca="1" si="67"/>
        <v>0</v>
      </c>
      <c r="G1082">
        <f ca="1">SUM($F$2:F1082)/E1082</f>
        <v>108.44209166394727</v>
      </c>
      <c r="I1082">
        <v>1080</v>
      </c>
      <c r="J1082">
        <f t="shared" ca="1" si="68"/>
        <v>0</v>
      </c>
      <c r="K1082">
        <f ca="1">SUM($J$2:J1082)/I1082</f>
        <v>106.54849751795908</v>
      </c>
      <c r="M1082">
        <v>1080</v>
      </c>
      <c r="N1082">
        <f t="shared" ca="1" si="69"/>
        <v>0</v>
      </c>
      <c r="O1082">
        <f ca="1">SUM($N$2:N1082)/M1082</f>
        <v>108.44209166394727</v>
      </c>
    </row>
    <row r="1083" spans="1:15" x14ac:dyDescent="0.2">
      <c r="A1083">
        <v>1081</v>
      </c>
      <c r="B1083" s="11">
        <f t="shared" ca="1" si="66"/>
        <v>118.58197021550885</v>
      </c>
      <c r="C1083">
        <f ca="1">SUM($B$2:B1083)/A1083</f>
        <v>106.5596293150891</v>
      </c>
      <c r="E1083">
        <v>1081</v>
      </c>
      <c r="F1083" s="11">
        <f t="shared" ca="1" si="67"/>
        <v>142.35764995105063</v>
      </c>
      <c r="G1083">
        <f ca="1">SUM($F$2:F1083)/E1083</f>
        <v>108.47346590843118</v>
      </c>
      <c r="I1083">
        <v>1081</v>
      </c>
      <c r="J1083">
        <f t="shared" ca="1" si="68"/>
        <v>118.58197021550885</v>
      </c>
      <c r="K1083">
        <f ca="1">SUM($J$2:J1083)/I1083</f>
        <v>106.5596293150891</v>
      </c>
      <c r="M1083">
        <v>1081</v>
      </c>
      <c r="N1083">
        <f t="shared" ca="1" si="69"/>
        <v>142.35764995105063</v>
      </c>
      <c r="O1083">
        <f ca="1">SUM($N$2:N1083)/M1083</f>
        <v>108.47346590843118</v>
      </c>
    </row>
    <row r="1084" spans="1:15" x14ac:dyDescent="0.2">
      <c r="A1084">
        <v>1082</v>
      </c>
      <c r="B1084" s="11">
        <f t="shared" ca="1" si="66"/>
        <v>237.16394043101769</v>
      </c>
      <c r="C1084">
        <f ca="1">SUM($B$2:B1084)/A1084</f>
        <v>106.68033570244208</v>
      </c>
      <c r="E1084">
        <v>1082</v>
      </c>
      <c r="F1084" s="11">
        <f t="shared" ca="1" si="67"/>
        <v>284.71529990210126</v>
      </c>
      <c r="G1084">
        <f ca="1">SUM($F$2:F1084)/E1084</f>
        <v>108.63635115241793</v>
      </c>
      <c r="I1084">
        <v>1082</v>
      </c>
      <c r="J1084">
        <f t="shared" ca="1" si="68"/>
        <v>237.16394043101769</v>
      </c>
      <c r="K1084">
        <f ca="1">SUM($J$2:J1084)/I1084</f>
        <v>106.68033570244208</v>
      </c>
      <c r="M1084">
        <v>1082</v>
      </c>
      <c r="N1084">
        <f t="shared" ca="1" si="69"/>
        <v>284.71529990210126</v>
      </c>
      <c r="O1084">
        <f ca="1">SUM($N$2:N1084)/M1084</f>
        <v>108.63635115241793</v>
      </c>
    </row>
    <row r="1085" spans="1:15" x14ac:dyDescent="0.2">
      <c r="A1085">
        <v>1083</v>
      </c>
      <c r="B1085" s="11">
        <f t="shared" ca="1" si="66"/>
        <v>355.74591064652657</v>
      </c>
      <c r="C1085">
        <f ca="1">SUM($B$2:B1085)/A1085</f>
        <v>106.91031314929718</v>
      </c>
      <c r="E1085">
        <v>1083</v>
      </c>
      <c r="F1085" s="11">
        <f t="shared" ca="1" si="67"/>
        <v>427.0729498531519</v>
      </c>
      <c r="G1085">
        <f ca="1">SUM($F$2:F1085)/E1085</f>
        <v>108.93038309951004</v>
      </c>
      <c r="I1085">
        <v>1083</v>
      </c>
      <c r="J1085">
        <f t="shared" ca="1" si="68"/>
        <v>355.74591064652657</v>
      </c>
      <c r="K1085">
        <f ca="1">SUM($J$2:J1085)/I1085</f>
        <v>106.91031314929718</v>
      </c>
      <c r="M1085">
        <v>1083</v>
      </c>
      <c r="N1085">
        <f t="shared" ca="1" si="69"/>
        <v>427.0729498531519</v>
      </c>
      <c r="O1085">
        <f ca="1">SUM($N$2:N1085)/M1085</f>
        <v>108.93038309951004</v>
      </c>
    </row>
    <row r="1086" spans="1:15" x14ac:dyDescent="0.2">
      <c r="A1086">
        <v>1084</v>
      </c>
      <c r="B1086" s="11">
        <f t="shared" ca="1" si="66"/>
        <v>474.32788086203539</v>
      </c>
      <c r="C1086">
        <f ca="1">SUM($B$2:B1086)/A1086</f>
        <v>107.24925924497315</v>
      </c>
      <c r="E1086">
        <v>1084</v>
      </c>
      <c r="F1086" s="11">
        <f t="shared" ca="1" si="67"/>
        <v>569.43059980420253</v>
      </c>
      <c r="G1086">
        <f ca="1">SUM($F$2:F1086)/E1086</f>
        <v>109.35519879757709</v>
      </c>
      <c r="I1086">
        <v>1084</v>
      </c>
      <c r="J1086">
        <f t="shared" ca="1" si="68"/>
        <v>474.32788086203539</v>
      </c>
      <c r="K1086">
        <f ca="1">SUM($J$2:J1086)/I1086</f>
        <v>107.24925924497315</v>
      </c>
      <c r="M1086">
        <v>1084</v>
      </c>
      <c r="N1086">
        <f t="shared" ca="1" si="69"/>
        <v>569.43059980420253</v>
      </c>
      <c r="O1086">
        <f ca="1">SUM($N$2:N1086)/M1086</f>
        <v>109.35519879757709</v>
      </c>
    </row>
    <row r="1087" spans="1:15" x14ac:dyDescent="0.2">
      <c r="A1087">
        <v>1085</v>
      </c>
      <c r="B1087" s="11">
        <f t="shared" ca="1" si="66"/>
        <v>592.9098510775442</v>
      </c>
      <c r="C1087">
        <f ca="1">SUM($B$2:B1087)/A1087</f>
        <v>107.69687269366676</v>
      </c>
      <c r="E1087">
        <v>1085</v>
      </c>
      <c r="F1087" s="11">
        <f t="shared" ca="1" si="67"/>
        <v>696</v>
      </c>
      <c r="G1087">
        <f ca="1">SUM($F$2:F1087)/E1087</f>
        <v>109.89588525029821</v>
      </c>
      <c r="I1087">
        <v>1085</v>
      </c>
      <c r="J1087">
        <f t="shared" ca="1" si="68"/>
        <v>592.9098510775442</v>
      </c>
      <c r="K1087">
        <f ca="1">SUM($J$2:J1087)/I1087</f>
        <v>107.69687269366676</v>
      </c>
      <c r="M1087">
        <v>1085</v>
      </c>
      <c r="N1087">
        <f t="shared" ca="1" si="69"/>
        <v>696</v>
      </c>
      <c r="O1087">
        <f ca="1">SUM($N$2:N1087)/M1087</f>
        <v>109.89588525029821</v>
      </c>
    </row>
    <row r="1088" spans="1:15" x14ac:dyDescent="0.2">
      <c r="A1088">
        <v>1086</v>
      </c>
      <c r="B1088" s="11">
        <f t="shared" ca="1" si="66"/>
        <v>696</v>
      </c>
      <c r="C1088">
        <f ca="1">SUM($B$2:B1088)/A1088</f>
        <v>108.23858828050501</v>
      </c>
      <c r="E1088">
        <v>1086</v>
      </c>
      <c r="F1088" s="11">
        <f t="shared" ca="1" si="67"/>
        <v>696</v>
      </c>
      <c r="G1088">
        <f ca="1">SUM($F$2:F1088)/E1088</f>
        <v>110.43557596369573</v>
      </c>
      <c r="I1088">
        <v>1086</v>
      </c>
      <c r="J1088">
        <f t="shared" ca="1" si="68"/>
        <v>696</v>
      </c>
      <c r="K1088">
        <f ca="1">SUM($J$2:J1088)/I1088</f>
        <v>108.23858828050501</v>
      </c>
      <c r="M1088">
        <v>1086</v>
      </c>
      <c r="N1088">
        <f t="shared" ca="1" si="69"/>
        <v>696</v>
      </c>
      <c r="O1088">
        <f ca="1">SUM($N$2:N1088)/M1088</f>
        <v>110.43557596369573</v>
      </c>
    </row>
    <row r="1089" spans="1:15" x14ac:dyDescent="0.2">
      <c r="A1089">
        <v>1087</v>
      </c>
      <c r="B1089" s="11">
        <f t="shared" ca="1" si="66"/>
        <v>696</v>
      </c>
      <c r="C1089">
        <f ca="1">SUM($B$2:B1089)/A1089</f>
        <v>108.77930715053215</v>
      </c>
      <c r="E1089">
        <v>1087</v>
      </c>
      <c r="F1089" s="11">
        <f t="shared" ca="1" si="67"/>
        <v>696</v>
      </c>
      <c r="G1089">
        <f ca="1">SUM($F$2:F1089)/E1089</f>
        <v>110.97427368590024</v>
      </c>
      <c r="I1089">
        <v>1087</v>
      </c>
      <c r="J1089">
        <f t="shared" ca="1" si="68"/>
        <v>696</v>
      </c>
      <c r="K1089">
        <f ca="1">SUM($J$2:J1089)/I1089</f>
        <v>108.77930715053215</v>
      </c>
      <c r="M1089">
        <v>1087</v>
      </c>
      <c r="N1089">
        <f t="shared" ca="1" si="69"/>
        <v>696</v>
      </c>
      <c r="O1089">
        <f ca="1">SUM($N$2:N1089)/M1089</f>
        <v>110.97427368590024</v>
      </c>
    </row>
    <row r="1090" spans="1:15" x14ac:dyDescent="0.2">
      <c r="A1090">
        <v>1088</v>
      </c>
      <c r="B1090" s="11">
        <f t="shared" ca="1" si="66"/>
        <v>696</v>
      </c>
      <c r="C1090">
        <f ca="1">SUM($B$2:B1090)/A1090</f>
        <v>109.3190320520482</v>
      </c>
      <c r="E1090">
        <v>1088</v>
      </c>
      <c r="F1090" s="11">
        <f t="shared" ca="1" si="67"/>
        <v>696</v>
      </c>
      <c r="G1090">
        <f ca="1">SUM($F$2:F1090)/E1090</f>
        <v>111.51198115493894</v>
      </c>
      <c r="I1090">
        <v>1088</v>
      </c>
      <c r="J1090">
        <f t="shared" ca="1" si="68"/>
        <v>696</v>
      </c>
      <c r="K1090">
        <f ca="1">SUM($J$2:J1090)/I1090</f>
        <v>109.3190320520482</v>
      </c>
      <c r="M1090">
        <v>1088</v>
      </c>
      <c r="N1090">
        <f t="shared" ca="1" si="69"/>
        <v>696</v>
      </c>
      <c r="O1090">
        <f ca="1">SUM($N$2:N1090)/M1090</f>
        <v>111.51198115493894</v>
      </c>
    </row>
    <row r="1091" spans="1:15" x14ac:dyDescent="0.2">
      <c r="A1091">
        <v>1089</v>
      </c>
      <c r="B1091" s="11">
        <f t="shared" ref="B1091:B1154" ca="1" si="70">IF(ARCap-IF((A1091-IF(A1091/180&gt;1,ROUNDDOWN(A1091/180,0)*180,0))/30&lt;=1,IF(200*15*BaseSpeed/60*(YellowConnects+WhiteMHConnects+WhiteOHConnects+HoJConnects+WindfuryConnects+SSConnects+IronfoeConnects)*(A1091-180*ROUNDDOWN(A1091/180,0))&gt;1200,1200,200*15*BaseSpeed/60*(YellowConnects+WhiteMHConnects+WhiteOHConnects+HoJConnects+WindfuryConnects+SSConnects+IronfoeConnects)*(A1091-180*ROUNDDOWN(A1091/180,0))),0)&lt;0,ARCap,IF((A1091-IF(A1091/180&gt;1,ROUNDDOWN(A1090/180,0)*180,0))/30&lt;=1,IF(200*15*BaseSpeed/60*(YellowConnects+WhiteMHConnects+WhiteOHConnects+HoJConnects+WindfuryConnects+SSConnects+IronfoeConnects)*(A1091-180*ROUNDDOWN(A1091/180,0))&gt;1200,1200,200*15*BaseSpeed/60*(YellowConnects+WhiteMHConnects+WhiteOHConnects+HoJConnects+WindfuryConnects+SSConnects+IronfoeConnects)*(A1091-180*ROUNDDOWN(A1091/180,0))),0))</f>
        <v>696</v>
      </c>
      <c r="C1091">
        <f ca="1">SUM($B$2:B1091)/A1091</f>
        <v>109.85776572325844</v>
      </c>
      <c r="E1091">
        <v>1089</v>
      </c>
      <c r="F1091" s="11">
        <f t="shared" ref="F1091:F1154" ca="1" si="71">IF(ARCap-IF((A1091-IF(A1091/180&gt;1,ROUNDDOWN(A1091/180,0)*180,0))/30&lt;=1,IF(200*15*BaseSpeed/60*(YellowConnects20+WhiteMHConnects20+WhiteOHConnects20+HoJConnects20+WindfuryConnects20+SSConnects20+IronfoeConnects20)*(A1091-180*ROUNDDOWN(A1091/180,0))&gt;1200,1200,200*15*BaseSpeed/60*(YellowConnects20+WhiteMHConnects20+WhiteOHConnects20+HoJConnects20+WindfuryConnects20+SSConnects20+IronfoeConnects20)*(A1091-180*ROUNDDOWN(A1091/180,0))),0)&lt;0,ARCap,IF((A1091-IF(A1091/180&gt;1,ROUNDDOWN(A1091/180,0)*180,0))/30&lt;=1,IF(200*15*BaseSpeed/60*(YellowConnects20+WhiteMHConnects20+WhiteOHConnects20+HoJConnects20+WindfuryConnects20+SSConnects20+IronfoeConnects20)*(A1091-180*ROUNDDOWN(A1091/180,0))&gt;1200,1200,200*15*BaseSpeed/60*(YellowConnects20+WhiteMHConnects20+WhiteOHConnects20+HoJConnects20+WindfuryConnects20+SSConnects20+IronfoeConnects20)*(A1091-180*ROUNDDOWN(A1091/180,0))),0))</f>
        <v>696</v>
      </c>
      <c r="G1091">
        <f ca="1">SUM($F$2:F1091)/E1091</f>
        <v>112.04870109878196</v>
      </c>
      <c r="I1091">
        <v>1089</v>
      </c>
      <c r="J1091">
        <f t="shared" ref="J1091:J1154" ca="1" si="72">IF(ARCap-(B1091+BRE)&lt;0,ARCap,B1091+BRE)</f>
        <v>696</v>
      </c>
      <c r="K1091">
        <f ca="1">SUM($J$2:J1091)/I1091</f>
        <v>109.85776572325844</v>
      </c>
      <c r="M1091">
        <v>1089</v>
      </c>
      <c r="N1091">
        <f t="shared" ref="N1091:N1154" ca="1" si="73">IF(ARCap-(F1091+BREArmorReduction20)&lt;0,ARCap,F1091+BREArmorReduction20)</f>
        <v>696</v>
      </c>
      <c r="O1091">
        <f ca="1">SUM($N$2:N1091)/M1091</f>
        <v>112.04870109878196</v>
      </c>
    </row>
    <row r="1092" spans="1:15" x14ac:dyDescent="0.2">
      <c r="A1092">
        <v>1090</v>
      </c>
      <c r="B1092" s="11">
        <f t="shared" ca="1" si="70"/>
        <v>696</v>
      </c>
      <c r="C1092">
        <f ca="1">SUM($B$2:B1092)/A1092</f>
        <v>110.39551089231968</v>
      </c>
      <c r="E1092">
        <v>1090</v>
      </c>
      <c r="F1092" s="11">
        <f t="shared" ca="1" si="71"/>
        <v>696</v>
      </c>
      <c r="G1092">
        <f ca="1">SUM($F$2:F1092)/E1092</f>
        <v>112.58443623538859</v>
      </c>
      <c r="I1092">
        <v>1090</v>
      </c>
      <c r="J1092">
        <f t="shared" ca="1" si="72"/>
        <v>696</v>
      </c>
      <c r="K1092">
        <f ca="1">SUM($J$2:J1092)/I1092</f>
        <v>110.39551089231968</v>
      </c>
      <c r="M1092">
        <v>1090</v>
      </c>
      <c r="N1092">
        <f t="shared" ca="1" si="73"/>
        <v>696</v>
      </c>
      <c r="O1092">
        <f ca="1">SUM($N$2:N1092)/M1092</f>
        <v>112.58443623538859</v>
      </c>
    </row>
    <row r="1093" spans="1:15" x14ac:dyDescent="0.2">
      <c r="A1093">
        <v>1091</v>
      </c>
      <c r="B1093" s="11">
        <f t="shared" ca="1" si="70"/>
        <v>696</v>
      </c>
      <c r="C1093">
        <f ca="1">SUM($B$2:B1093)/A1093</f>
        <v>110.93227027738629</v>
      </c>
      <c r="E1093">
        <v>1091</v>
      </c>
      <c r="F1093" s="11">
        <f t="shared" ca="1" si="71"/>
        <v>696</v>
      </c>
      <c r="G1093">
        <f ca="1">SUM($F$2:F1093)/E1093</f>
        <v>113.11918927275303</v>
      </c>
      <c r="I1093">
        <v>1091</v>
      </c>
      <c r="J1093">
        <f t="shared" ca="1" si="72"/>
        <v>696</v>
      </c>
      <c r="K1093">
        <f ca="1">SUM($J$2:J1093)/I1093</f>
        <v>110.93227027738629</v>
      </c>
      <c r="M1093">
        <v>1091</v>
      </c>
      <c r="N1093">
        <f t="shared" ca="1" si="73"/>
        <v>696</v>
      </c>
      <c r="O1093">
        <f ca="1">SUM($N$2:N1093)/M1093</f>
        <v>113.11918927275303</v>
      </c>
    </row>
    <row r="1094" spans="1:15" x14ac:dyDescent="0.2">
      <c r="A1094">
        <v>1092</v>
      </c>
      <c r="B1094" s="11">
        <f t="shared" ca="1" si="70"/>
        <v>696</v>
      </c>
      <c r="C1094">
        <f ca="1">SUM($B$2:B1094)/A1094</f>
        <v>111.46804658665609</v>
      </c>
      <c r="E1094">
        <v>1092</v>
      </c>
      <c r="F1094" s="11">
        <f t="shared" ca="1" si="71"/>
        <v>696</v>
      </c>
      <c r="G1094">
        <f ca="1">SUM($F$2:F1094)/E1094</f>
        <v>113.65296290895014</v>
      </c>
      <c r="I1094">
        <v>1092</v>
      </c>
      <c r="J1094">
        <f t="shared" ca="1" si="72"/>
        <v>696</v>
      </c>
      <c r="K1094">
        <f ca="1">SUM($J$2:J1094)/I1094</f>
        <v>111.46804658665609</v>
      </c>
      <c r="M1094">
        <v>1092</v>
      </c>
      <c r="N1094">
        <f t="shared" ca="1" si="73"/>
        <v>696</v>
      </c>
      <c r="O1094">
        <f ca="1">SUM($N$2:N1094)/M1094</f>
        <v>113.65296290895014</v>
      </c>
    </row>
    <row r="1095" spans="1:15" x14ac:dyDescent="0.2">
      <c r="A1095">
        <v>1093</v>
      </c>
      <c r="B1095" s="11">
        <f t="shared" ca="1" si="70"/>
        <v>696</v>
      </c>
      <c r="C1095">
        <f ca="1">SUM($B$2:B1095)/A1095</f>
        <v>112.00284251841578</v>
      </c>
      <c r="E1095">
        <v>1093</v>
      </c>
      <c r="F1095" s="11">
        <f t="shared" ca="1" si="71"/>
        <v>696</v>
      </c>
      <c r="G1095">
        <f ca="1">SUM($F$2:F1095)/E1095</f>
        <v>114.18575983218075</v>
      </c>
      <c r="I1095">
        <v>1093</v>
      </c>
      <c r="J1095">
        <f t="shared" ca="1" si="72"/>
        <v>696</v>
      </c>
      <c r="K1095">
        <f ca="1">SUM($J$2:J1095)/I1095</f>
        <v>112.00284251841578</v>
      </c>
      <c r="M1095">
        <v>1093</v>
      </c>
      <c r="N1095">
        <f t="shared" ca="1" si="73"/>
        <v>696</v>
      </c>
      <c r="O1095">
        <f ca="1">SUM($N$2:N1095)/M1095</f>
        <v>114.18575983218075</v>
      </c>
    </row>
    <row r="1096" spans="1:15" x14ac:dyDescent="0.2">
      <c r="A1096">
        <v>1094</v>
      </c>
      <c r="B1096" s="11">
        <f t="shared" ca="1" si="70"/>
        <v>696</v>
      </c>
      <c r="C1096">
        <f ca="1">SUM($B$2:B1096)/A1096</f>
        <v>112.53666076108632</v>
      </c>
      <c r="E1096">
        <v>1094</v>
      </c>
      <c r="F1096" s="11">
        <f t="shared" ca="1" si="71"/>
        <v>696</v>
      </c>
      <c r="G1096">
        <f ca="1">SUM($F$2:F1096)/E1096</f>
        <v>114.71758272081678</v>
      </c>
      <c r="I1096">
        <v>1094</v>
      </c>
      <c r="J1096">
        <f t="shared" ca="1" si="72"/>
        <v>696</v>
      </c>
      <c r="K1096">
        <f ca="1">SUM($J$2:J1096)/I1096</f>
        <v>112.53666076108632</v>
      </c>
      <c r="M1096">
        <v>1094</v>
      </c>
      <c r="N1096">
        <f t="shared" ca="1" si="73"/>
        <v>696</v>
      </c>
      <c r="O1096">
        <f ca="1">SUM($N$2:N1096)/M1096</f>
        <v>114.71758272081678</v>
      </c>
    </row>
    <row r="1097" spans="1:15" x14ac:dyDescent="0.2">
      <c r="A1097">
        <v>1095</v>
      </c>
      <c r="B1097" s="11">
        <f t="shared" ca="1" si="70"/>
        <v>696</v>
      </c>
      <c r="C1097">
        <f ca="1">SUM($B$2:B1097)/A1097</f>
        <v>113.06950399326799</v>
      </c>
      <c r="E1097">
        <v>1095</v>
      </c>
      <c r="F1097" s="11">
        <f t="shared" ca="1" si="71"/>
        <v>696</v>
      </c>
      <c r="G1097">
        <f ca="1">SUM($F$2:F1097)/E1097</f>
        <v>115.24843424344617</v>
      </c>
      <c r="I1097">
        <v>1095</v>
      </c>
      <c r="J1097">
        <f t="shared" ca="1" si="72"/>
        <v>696</v>
      </c>
      <c r="K1097">
        <f ca="1">SUM($J$2:J1097)/I1097</f>
        <v>113.06950399326799</v>
      </c>
      <c r="M1097">
        <v>1095</v>
      </c>
      <c r="N1097">
        <f t="shared" ca="1" si="73"/>
        <v>696</v>
      </c>
      <c r="O1097">
        <f ca="1">SUM($N$2:N1097)/M1097</f>
        <v>115.24843424344617</v>
      </c>
    </row>
    <row r="1098" spans="1:15" x14ac:dyDescent="0.2">
      <c r="A1098">
        <v>1096</v>
      </c>
      <c r="B1098" s="11">
        <f t="shared" ca="1" si="70"/>
        <v>696</v>
      </c>
      <c r="C1098">
        <f ca="1">SUM($B$2:B1098)/A1098</f>
        <v>113.60137488378507</v>
      </c>
      <c r="E1098">
        <v>1096</v>
      </c>
      <c r="F1098" s="11">
        <f t="shared" ca="1" si="71"/>
        <v>696</v>
      </c>
      <c r="G1098">
        <f ca="1">SUM($F$2:F1098)/E1098</f>
        <v>115.77831705891748</v>
      </c>
      <c r="I1098">
        <v>1096</v>
      </c>
      <c r="J1098">
        <f t="shared" ca="1" si="72"/>
        <v>696</v>
      </c>
      <c r="K1098">
        <f ca="1">SUM($J$2:J1098)/I1098</f>
        <v>113.60137488378507</v>
      </c>
      <c r="M1098">
        <v>1096</v>
      </c>
      <c r="N1098">
        <f t="shared" ca="1" si="73"/>
        <v>696</v>
      </c>
      <c r="O1098">
        <f ca="1">SUM($N$2:N1098)/M1098</f>
        <v>115.77831705891748</v>
      </c>
    </row>
    <row r="1099" spans="1:15" x14ac:dyDescent="0.2">
      <c r="A1099">
        <v>1097</v>
      </c>
      <c r="B1099" s="11">
        <f t="shared" ca="1" si="70"/>
        <v>696</v>
      </c>
      <c r="C1099">
        <f ca="1">SUM($B$2:B1099)/A1099</f>
        <v>114.13227609173057</v>
      </c>
      <c r="E1099">
        <v>1097</v>
      </c>
      <c r="F1099" s="11">
        <f t="shared" ca="1" si="71"/>
        <v>696</v>
      </c>
      <c r="G1099">
        <f ca="1">SUM($F$2:F1099)/E1099</f>
        <v>116.30723381638428</v>
      </c>
      <c r="I1099">
        <v>1097</v>
      </c>
      <c r="J1099">
        <f t="shared" ca="1" si="72"/>
        <v>696</v>
      </c>
      <c r="K1099">
        <f ca="1">SUM($J$2:J1099)/I1099</f>
        <v>114.13227609173057</v>
      </c>
      <c r="M1099">
        <v>1097</v>
      </c>
      <c r="N1099">
        <f t="shared" ca="1" si="73"/>
        <v>696</v>
      </c>
      <c r="O1099">
        <f ca="1">SUM($N$2:N1099)/M1099</f>
        <v>116.30723381638428</v>
      </c>
    </row>
    <row r="1100" spans="1:15" x14ac:dyDescent="0.2">
      <c r="A1100">
        <v>1098</v>
      </c>
      <c r="B1100" s="11">
        <f t="shared" ca="1" si="70"/>
        <v>696</v>
      </c>
      <c r="C1100">
        <f ca="1">SUM($B$2:B1100)/A1100</f>
        <v>114.66221026651043</v>
      </c>
      <c r="E1100">
        <v>1098</v>
      </c>
      <c r="F1100" s="11">
        <f t="shared" ca="1" si="71"/>
        <v>696</v>
      </c>
      <c r="G1100">
        <f ca="1">SUM($F$2:F1100)/E1100</f>
        <v>116.83518715534933</v>
      </c>
      <c r="I1100">
        <v>1098</v>
      </c>
      <c r="J1100">
        <f t="shared" ca="1" si="72"/>
        <v>696</v>
      </c>
      <c r="K1100">
        <f ca="1">SUM($J$2:J1100)/I1100</f>
        <v>114.66221026651043</v>
      </c>
      <c r="M1100">
        <v>1098</v>
      </c>
      <c r="N1100">
        <f t="shared" ca="1" si="73"/>
        <v>696</v>
      </c>
      <c r="O1100">
        <f ca="1">SUM($N$2:N1100)/M1100</f>
        <v>116.83518715534933</v>
      </c>
    </row>
    <row r="1101" spans="1:15" x14ac:dyDescent="0.2">
      <c r="A1101">
        <v>1099</v>
      </c>
      <c r="B1101" s="11">
        <f t="shared" ca="1" si="70"/>
        <v>696</v>
      </c>
      <c r="C1101">
        <f ca="1">SUM($B$2:B1101)/A1101</f>
        <v>115.19118004788757</v>
      </c>
      <c r="E1101">
        <v>1099</v>
      </c>
      <c r="F1101" s="11">
        <f t="shared" ca="1" si="71"/>
        <v>696</v>
      </c>
      <c r="G1101">
        <f ca="1">SUM($F$2:F1101)/E1101</f>
        <v>117.36217970570843</v>
      </c>
      <c r="I1101">
        <v>1099</v>
      </c>
      <c r="J1101">
        <f t="shared" ca="1" si="72"/>
        <v>696</v>
      </c>
      <c r="K1101">
        <f ca="1">SUM($J$2:J1101)/I1101</f>
        <v>115.19118004788757</v>
      </c>
      <c r="M1101">
        <v>1099</v>
      </c>
      <c r="N1101">
        <f t="shared" ca="1" si="73"/>
        <v>696</v>
      </c>
      <c r="O1101">
        <f ca="1">SUM($N$2:N1101)/M1101</f>
        <v>117.36217970570843</v>
      </c>
    </row>
    <row r="1102" spans="1:15" x14ac:dyDescent="0.2">
      <c r="A1102">
        <v>1100</v>
      </c>
      <c r="B1102" s="11">
        <f t="shared" ca="1" si="70"/>
        <v>696</v>
      </c>
      <c r="C1102">
        <f ca="1">SUM($B$2:B1102)/A1102</f>
        <v>115.71918806602585</v>
      </c>
      <c r="E1102">
        <v>1100</v>
      </c>
      <c r="F1102" s="11">
        <f t="shared" ca="1" si="71"/>
        <v>696</v>
      </c>
      <c r="G1102">
        <f ca="1">SUM($F$2:F1102)/E1102</f>
        <v>117.88821408779414</v>
      </c>
      <c r="I1102">
        <v>1100</v>
      </c>
      <c r="J1102">
        <f t="shared" ca="1" si="72"/>
        <v>696</v>
      </c>
      <c r="K1102">
        <f ca="1">SUM($J$2:J1102)/I1102</f>
        <v>115.71918806602585</v>
      </c>
      <c r="M1102">
        <v>1100</v>
      </c>
      <c r="N1102">
        <f t="shared" ca="1" si="73"/>
        <v>696</v>
      </c>
      <c r="O1102">
        <f ca="1">SUM($N$2:N1102)/M1102</f>
        <v>117.88821408779414</v>
      </c>
    </row>
    <row r="1103" spans="1:15" x14ac:dyDescent="0.2">
      <c r="A1103">
        <v>1101</v>
      </c>
      <c r="B1103" s="11">
        <f t="shared" ca="1" si="70"/>
        <v>696</v>
      </c>
      <c r="C1103">
        <f ca="1">SUM($B$2:B1103)/A1103</f>
        <v>116.24623694153355</v>
      </c>
      <c r="E1103">
        <v>1101</v>
      </c>
      <c r="F1103" s="11">
        <f t="shared" ca="1" si="71"/>
        <v>696</v>
      </c>
      <c r="G1103">
        <f ca="1">SUM($F$2:F1103)/E1103</f>
        <v>118.41329291241922</v>
      </c>
      <c r="I1103">
        <v>1101</v>
      </c>
      <c r="J1103">
        <f t="shared" ca="1" si="72"/>
        <v>696</v>
      </c>
      <c r="K1103">
        <f ca="1">SUM($J$2:J1103)/I1103</f>
        <v>116.24623694153355</v>
      </c>
      <c r="M1103">
        <v>1101</v>
      </c>
      <c r="N1103">
        <f t="shared" ca="1" si="73"/>
        <v>696</v>
      </c>
      <c r="O1103">
        <f ca="1">SUM($N$2:N1103)/M1103</f>
        <v>118.41329291241922</v>
      </c>
    </row>
    <row r="1104" spans="1:15" x14ac:dyDescent="0.2">
      <c r="A1104">
        <v>1102</v>
      </c>
      <c r="B1104" s="11">
        <f t="shared" ca="1" si="70"/>
        <v>696</v>
      </c>
      <c r="C1104">
        <f ca="1">SUM($B$2:B1104)/A1104</f>
        <v>116.77232928550676</v>
      </c>
      <c r="E1104">
        <v>1102</v>
      </c>
      <c r="F1104" s="11">
        <f t="shared" ca="1" si="71"/>
        <v>696</v>
      </c>
      <c r="G1104">
        <f ca="1">SUM($F$2:F1104)/E1104</f>
        <v>118.93741878091974</v>
      </c>
      <c r="I1104">
        <v>1102</v>
      </c>
      <c r="J1104">
        <f t="shared" ca="1" si="72"/>
        <v>696</v>
      </c>
      <c r="K1104">
        <f ca="1">SUM($J$2:J1104)/I1104</f>
        <v>116.77232928550676</v>
      </c>
      <c r="M1104">
        <v>1102</v>
      </c>
      <c r="N1104">
        <f t="shared" ca="1" si="73"/>
        <v>696</v>
      </c>
      <c r="O1104">
        <f ca="1">SUM($N$2:N1104)/M1104</f>
        <v>118.93741878091974</v>
      </c>
    </row>
    <row r="1105" spans="1:15" x14ac:dyDescent="0.2">
      <c r="A1105">
        <v>1103</v>
      </c>
      <c r="B1105" s="11">
        <f t="shared" ca="1" si="70"/>
        <v>696</v>
      </c>
      <c r="C1105">
        <f ca="1">SUM($B$2:B1105)/A1105</f>
        <v>117.29746769957248</v>
      </c>
      <c r="E1105">
        <v>1103</v>
      </c>
      <c r="F1105" s="11">
        <f t="shared" ca="1" si="71"/>
        <v>696</v>
      </c>
      <c r="G1105">
        <f ca="1">SUM($F$2:F1105)/E1105</f>
        <v>119.46059428519814</v>
      </c>
      <c r="I1105">
        <v>1103</v>
      </c>
      <c r="J1105">
        <f t="shared" ca="1" si="72"/>
        <v>696</v>
      </c>
      <c r="K1105">
        <f ca="1">SUM($J$2:J1105)/I1105</f>
        <v>117.29746769957248</v>
      </c>
      <c r="M1105">
        <v>1103</v>
      </c>
      <c r="N1105">
        <f t="shared" ca="1" si="73"/>
        <v>696</v>
      </c>
      <c r="O1105">
        <f ca="1">SUM($N$2:N1105)/M1105</f>
        <v>119.46059428519814</v>
      </c>
    </row>
    <row r="1106" spans="1:15" x14ac:dyDescent="0.2">
      <c r="A1106">
        <v>1104</v>
      </c>
      <c r="B1106" s="11">
        <f t="shared" ca="1" si="70"/>
        <v>696</v>
      </c>
      <c r="C1106">
        <f ca="1">SUM($B$2:B1106)/A1106</f>
        <v>117.82165477593156</v>
      </c>
      <c r="E1106">
        <v>1104</v>
      </c>
      <c r="F1106" s="11">
        <f t="shared" ca="1" si="71"/>
        <v>696</v>
      </c>
      <c r="G1106">
        <f ca="1">SUM($F$2:F1106)/E1106</f>
        <v>119.98282200776589</v>
      </c>
      <c r="I1106">
        <v>1104</v>
      </c>
      <c r="J1106">
        <f t="shared" ca="1" si="72"/>
        <v>696</v>
      </c>
      <c r="K1106">
        <f ca="1">SUM($J$2:J1106)/I1106</f>
        <v>117.82165477593156</v>
      </c>
      <c r="M1106">
        <v>1104</v>
      </c>
      <c r="N1106">
        <f t="shared" ca="1" si="73"/>
        <v>696</v>
      </c>
      <c r="O1106">
        <f ca="1">SUM($N$2:N1106)/M1106</f>
        <v>119.98282200776589</v>
      </c>
    </row>
    <row r="1107" spans="1:15" x14ac:dyDescent="0.2">
      <c r="A1107">
        <v>1105</v>
      </c>
      <c r="B1107" s="11">
        <f t="shared" ca="1" si="70"/>
        <v>696</v>
      </c>
      <c r="C1107">
        <f ca="1">SUM($B$2:B1107)/A1107</f>
        <v>118.34489309740131</v>
      </c>
      <c r="E1107">
        <v>1105</v>
      </c>
      <c r="F1107" s="11">
        <f t="shared" ca="1" si="71"/>
        <v>696</v>
      </c>
      <c r="G1107">
        <f ca="1">SUM($F$2:F1107)/E1107</f>
        <v>120.50410452178602</v>
      </c>
      <c r="I1107">
        <v>1105</v>
      </c>
      <c r="J1107">
        <f t="shared" ca="1" si="72"/>
        <v>696</v>
      </c>
      <c r="K1107">
        <f ca="1">SUM($J$2:J1107)/I1107</f>
        <v>118.34489309740131</v>
      </c>
      <c r="M1107">
        <v>1105</v>
      </c>
      <c r="N1107">
        <f t="shared" ca="1" si="73"/>
        <v>696</v>
      </c>
      <c r="O1107">
        <f ca="1">SUM($N$2:N1107)/M1107</f>
        <v>120.50410452178602</v>
      </c>
    </row>
    <row r="1108" spans="1:15" x14ac:dyDescent="0.2">
      <c r="A1108">
        <v>1106</v>
      </c>
      <c r="B1108" s="11">
        <f t="shared" ca="1" si="70"/>
        <v>696</v>
      </c>
      <c r="C1108">
        <f ca="1">SUM($B$2:B1108)/A1108</f>
        <v>118.8671852374579</v>
      </c>
      <c r="E1108">
        <v>1106</v>
      </c>
      <c r="F1108" s="11">
        <f t="shared" ca="1" si="71"/>
        <v>696</v>
      </c>
      <c r="G1108">
        <f ca="1">SUM($F$2:F1108)/E1108</f>
        <v>121.02444439111532</v>
      </c>
      <c r="I1108">
        <v>1106</v>
      </c>
      <c r="J1108">
        <f t="shared" ca="1" si="72"/>
        <v>696</v>
      </c>
      <c r="K1108">
        <f ca="1">SUM($J$2:J1108)/I1108</f>
        <v>118.8671852374579</v>
      </c>
      <c r="M1108">
        <v>1106</v>
      </c>
      <c r="N1108">
        <f t="shared" ca="1" si="73"/>
        <v>696</v>
      </c>
      <c r="O1108">
        <f ca="1">SUM($N$2:N1108)/M1108</f>
        <v>121.02444439111532</v>
      </c>
    </row>
    <row r="1109" spans="1:15" x14ac:dyDescent="0.2">
      <c r="A1109">
        <v>1107</v>
      </c>
      <c r="B1109" s="11">
        <f t="shared" ca="1" si="70"/>
        <v>696</v>
      </c>
      <c r="C1109">
        <f ca="1">SUM($B$2:B1109)/A1109</f>
        <v>119.38853376027863</v>
      </c>
      <c r="E1109">
        <v>1107</v>
      </c>
      <c r="F1109" s="11">
        <f t="shared" ca="1" si="71"/>
        <v>696</v>
      </c>
      <c r="G1109">
        <f ca="1">SUM($F$2:F1109)/E1109</f>
        <v>121.54384417034647</v>
      </c>
      <c r="I1109">
        <v>1107</v>
      </c>
      <c r="J1109">
        <f t="shared" ca="1" si="72"/>
        <v>696</v>
      </c>
      <c r="K1109">
        <f ca="1">SUM($J$2:J1109)/I1109</f>
        <v>119.38853376027863</v>
      </c>
      <c r="M1109">
        <v>1107</v>
      </c>
      <c r="N1109">
        <f t="shared" ca="1" si="73"/>
        <v>696</v>
      </c>
      <c r="O1109">
        <f ca="1">SUM($N$2:N1109)/M1109</f>
        <v>121.54384417034647</v>
      </c>
    </row>
    <row r="1110" spans="1:15" x14ac:dyDescent="0.2">
      <c r="A1110">
        <v>1108</v>
      </c>
      <c r="B1110" s="11">
        <f t="shared" ca="1" si="70"/>
        <v>696</v>
      </c>
      <c r="C1110">
        <f ca="1">SUM($B$2:B1110)/A1110</f>
        <v>119.90894122078379</v>
      </c>
      <c r="E1110">
        <v>1108</v>
      </c>
      <c r="F1110" s="11">
        <f t="shared" ca="1" si="71"/>
        <v>696</v>
      </c>
      <c r="G1110">
        <f ca="1">SUM($F$2:F1110)/E1110</f>
        <v>122.06230640484976</v>
      </c>
      <c r="I1110">
        <v>1108</v>
      </c>
      <c r="J1110">
        <f t="shared" ca="1" si="72"/>
        <v>696</v>
      </c>
      <c r="K1110">
        <f ca="1">SUM($J$2:J1110)/I1110</f>
        <v>119.90894122078379</v>
      </c>
      <c r="M1110">
        <v>1108</v>
      </c>
      <c r="N1110">
        <f t="shared" ca="1" si="73"/>
        <v>696</v>
      </c>
      <c r="O1110">
        <f ca="1">SUM($N$2:N1110)/M1110</f>
        <v>122.06230640484976</v>
      </c>
    </row>
    <row r="1111" spans="1:15" x14ac:dyDescent="0.2">
      <c r="A1111">
        <v>1109</v>
      </c>
      <c r="B1111" s="11">
        <f t="shared" ca="1" si="70"/>
        <v>696</v>
      </c>
      <c r="C1111">
        <f ca="1">SUM($B$2:B1111)/A1111</f>
        <v>120.42841016467848</v>
      </c>
      <c r="E1111">
        <v>1109</v>
      </c>
      <c r="F1111" s="11">
        <f t="shared" ca="1" si="71"/>
        <v>696</v>
      </c>
      <c r="G1111">
        <f ca="1">SUM($F$2:F1111)/E1111</f>
        <v>122.57983363081473</v>
      </c>
      <c r="I1111">
        <v>1109</v>
      </c>
      <c r="J1111">
        <f t="shared" ca="1" si="72"/>
        <v>696</v>
      </c>
      <c r="K1111">
        <f ca="1">SUM($J$2:J1111)/I1111</f>
        <v>120.42841016467848</v>
      </c>
      <c r="M1111">
        <v>1109</v>
      </c>
      <c r="N1111">
        <f t="shared" ca="1" si="73"/>
        <v>696</v>
      </c>
      <c r="O1111">
        <f ca="1">SUM($N$2:N1111)/M1111</f>
        <v>122.57983363081473</v>
      </c>
    </row>
    <row r="1112" spans="1:15" x14ac:dyDescent="0.2">
      <c r="A1112">
        <v>1110</v>
      </c>
      <c r="B1112" s="11">
        <f t="shared" ca="1" si="70"/>
        <v>696</v>
      </c>
      <c r="C1112">
        <f ca="1">SUM($B$2:B1112)/A1112</f>
        <v>120.9469431284941</v>
      </c>
      <c r="E1112">
        <v>1110</v>
      </c>
      <c r="F1112" s="11">
        <f t="shared" ca="1" si="71"/>
        <v>696</v>
      </c>
      <c r="G1112">
        <f ca="1">SUM($F$2:F1112)/E1112</f>
        <v>123.09642837529148</v>
      </c>
      <c r="I1112">
        <v>1110</v>
      </c>
      <c r="J1112">
        <f t="shared" ca="1" si="72"/>
        <v>696</v>
      </c>
      <c r="K1112">
        <f ca="1">SUM($J$2:J1112)/I1112</f>
        <v>120.9469431284941</v>
      </c>
      <c r="M1112">
        <v>1110</v>
      </c>
      <c r="N1112">
        <f t="shared" ca="1" si="73"/>
        <v>696</v>
      </c>
      <c r="O1112">
        <f ca="1">SUM($N$2:N1112)/M1112</f>
        <v>123.09642837529148</v>
      </c>
    </row>
    <row r="1113" spans="1:15" x14ac:dyDescent="0.2">
      <c r="A1113">
        <v>1111</v>
      </c>
      <c r="B1113" s="11">
        <f t="shared" si="70"/>
        <v>0</v>
      </c>
      <c r="C1113">
        <f ca="1">SUM($B$2:B1113)/A1113</f>
        <v>120.83807999336493</v>
      </c>
      <c r="E1113">
        <v>1111</v>
      </c>
      <c r="F1113" s="11">
        <f t="shared" si="71"/>
        <v>0</v>
      </c>
      <c r="G1113">
        <f ca="1">SUM($F$2:F1113)/E1113</f>
        <v>122.98563050996719</v>
      </c>
      <c r="I1113">
        <v>1111</v>
      </c>
      <c r="J1113">
        <f t="shared" si="72"/>
        <v>0</v>
      </c>
      <c r="K1113">
        <f ca="1">SUM($J$2:J1113)/I1113</f>
        <v>120.83807999336493</v>
      </c>
      <c r="M1113">
        <v>1111</v>
      </c>
      <c r="N1113">
        <f t="shared" si="73"/>
        <v>0</v>
      </c>
      <c r="O1113">
        <f ca="1">SUM($N$2:N1113)/M1113</f>
        <v>122.98563050996719</v>
      </c>
    </row>
    <row r="1114" spans="1:15" x14ac:dyDescent="0.2">
      <c r="A1114">
        <v>1112</v>
      </c>
      <c r="B1114" s="11">
        <f t="shared" si="70"/>
        <v>0</v>
      </c>
      <c r="C1114">
        <f ca="1">SUM($B$2:B1114)/A1114</f>
        <v>120.7294126552414</v>
      </c>
      <c r="E1114">
        <v>1112</v>
      </c>
      <c r="F1114" s="11">
        <f t="shared" si="71"/>
        <v>0</v>
      </c>
      <c r="G1114">
        <f ca="1">SUM($F$2:F1114)/E1114</f>
        <v>122.87503192137909</v>
      </c>
      <c r="I1114">
        <v>1112</v>
      </c>
      <c r="J1114">
        <f t="shared" si="72"/>
        <v>0</v>
      </c>
      <c r="K1114">
        <f ca="1">SUM($J$2:J1114)/I1114</f>
        <v>120.7294126552414</v>
      </c>
      <c r="M1114">
        <v>1112</v>
      </c>
      <c r="N1114">
        <f t="shared" si="73"/>
        <v>0</v>
      </c>
      <c r="O1114">
        <f ca="1">SUM($N$2:N1114)/M1114</f>
        <v>122.87503192137909</v>
      </c>
    </row>
    <row r="1115" spans="1:15" x14ac:dyDescent="0.2">
      <c r="A1115">
        <v>1113</v>
      </c>
      <c r="B1115" s="11">
        <f t="shared" si="70"/>
        <v>0</v>
      </c>
      <c r="C1115">
        <f ca="1">SUM($B$2:B1115)/A1115</f>
        <v>120.62094058636877</v>
      </c>
      <c r="E1115">
        <v>1113</v>
      </c>
      <c r="F1115" s="11">
        <f t="shared" si="71"/>
        <v>0</v>
      </c>
      <c r="G1115">
        <f ca="1">SUM($F$2:F1115)/E1115</f>
        <v>122.76463207239313</v>
      </c>
      <c r="I1115">
        <v>1113</v>
      </c>
      <c r="J1115">
        <f t="shared" si="72"/>
        <v>0</v>
      </c>
      <c r="K1115">
        <f ca="1">SUM($J$2:J1115)/I1115</f>
        <v>120.62094058636877</v>
      </c>
      <c r="M1115">
        <v>1113</v>
      </c>
      <c r="N1115">
        <f t="shared" si="73"/>
        <v>0</v>
      </c>
      <c r="O1115">
        <f ca="1">SUM($N$2:N1115)/M1115</f>
        <v>122.76463207239313</v>
      </c>
    </row>
    <row r="1116" spans="1:15" x14ac:dyDescent="0.2">
      <c r="A1116">
        <v>1114</v>
      </c>
      <c r="B1116" s="11">
        <f t="shared" si="70"/>
        <v>0</v>
      </c>
      <c r="C1116">
        <f ca="1">SUM($B$2:B1116)/A1116</f>
        <v>120.51266326088729</v>
      </c>
      <c r="E1116">
        <v>1114</v>
      </c>
      <c r="F1116" s="11">
        <f t="shared" si="71"/>
        <v>0</v>
      </c>
      <c r="G1116">
        <f ca="1">SUM($F$2:F1116)/E1116</f>
        <v>122.6544304278039</v>
      </c>
      <c r="I1116">
        <v>1114</v>
      </c>
      <c r="J1116">
        <f t="shared" si="72"/>
        <v>0</v>
      </c>
      <c r="K1116">
        <f ca="1">SUM($J$2:J1116)/I1116</f>
        <v>120.51266326088729</v>
      </c>
      <c r="M1116">
        <v>1114</v>
      </c>
      <c r="N1116">
        <f t="shared" si="73"/>
        <v>0</v>
      </c>
      <c r="O1116">
        <f ca="1">SUM($N$2:N1116)/M1116</f>
        <v>122.6544304278039</v>
      </c>
    </row>
    <row r="1117" spans="1:15" x14ac:dyDescent="0.2">
      <c r="A1117">
        <v>1115</v>
      </c>
      <c r="B1117" s="11">
        <f t="shared" si="70"/>
        <v>0</v>
      </c>
      <c r="C1117">
        <f ca="1">SUM($B$2:B1117)/A1117</f>
        <v>120.40458015482372</v>
      </c>
      <c r="E1117">
        <v>1115</v>
      </c>
      <c r="F1117" s="11">
        <f t="shared" si="71"/>
        <v>0</v>
      </c>
      <c r="G1117">
        <f ca="1">SUM($F$2:F1117)/E1117</f>
        <v>122.54442645432606</v>
      </c>
      <c r="I1117">
        <v>1115</v>
      </c>
      <c r="J1117">
        <f t="shared" si="72"/>
        <v>0</v>
      </c>
      <c r="K1117">
        <f ca="1">SUM($J$2:J1117)/I1117</f>
        <v>120.40458015482372</v>
      </c>
      <c r="M1117">
        <v>1115</v>
      </c>
      <c r="N1117">
        <f t="shared" si="73"/>
        <v>0</v>
      </c>
      <c r="O1117">
        <f ca="1">SUM($N$2:N1117)/M1117</f>
        <v>122.54442645432606</v>
      </c>
    </row>
    <row r="1118" spans="1:15" x14ac:dyDescent="0.2">
      <c r="A1118">
        <v>1116</v>
      </c>
      <c r="B1118" s="11">
        <f t="shared" si="70"/>
        <v>0</v>
      </c>
      <c r="C1118">
        <f ca="1">SUM($B$2:B1118)/A1118</f>
        <v>120.29669074608283</v>
      </c>
      <c r="E1118">
        <v>1116</v>
      </c>
      <c r="F1118" s="11">
        <f t="shared" si="71"/>
        <v>0</v>
      </c>
      <c r="G1118">
        <f ca="1">SUM($F$2:F1118)/E1118</f>
        <v>122.43461962058562</v>
      </c>
      <c r="I1118">
        <v>1116</v>
      </c>
      <c r="J1118">
        <f t="shared" si="72"/>
        <v>0</v>
      </c>
      <c r="K1118">
        <f ca="1">SUM($J$2:J1118)/I1118</f>
        <v>120.29669074608283</v>
      </c>
      <c r="M1118">
        <v>1116</v>
      </c>
      <c r="N1118">
        <f t="shared" si="73"/>
        <v>0</v>
      </c>
      <c r="O1118">
        <f ca="1">SUM($N$2:N1118)/M1118</f>
        <v>122.43461962058562</v>
      </c>
    </row>
    <row r="1119" spans="1:15" x14ac:dyDescent="0.2">
      <c r="A1119">
        <v>1117</v>
      </c>
      <c r="B1119" s="11">
        <f t="shared" si="70"/>
        <v>0</v>
      </c>
      <c r="C1119">
        <f ca="1">SUM($B$2:B1119)/A1119</f>
        <v>120.18899451443907</v>
      </c>
      <c r="E1119">
        <v>1117</v>
      </c>
      <c r="F1119" s="11">
        <f t="shared" si="71"/>
        <v>0</v>
      </c>
      <c r="G1119">
        <f ca="1">SUM($F$2:F1119)/E1119</f>
        <v>122.3250093971115</v>
      </c>
      <c r="I1119">
        <v>1117</v>
      </c>
      <c r="J1119">
        <f t="shared" si="72"/>
        <v>0</v>
      </c>
      <c r="K1119">
        <f ca="1">SUM($J$2:J1119)/I1119</f>
        <v>120.18899451443907</v>
      </c>
      <c r="M1119">
        <v>1117</v>
      </c>
      <c r="N1119">
        <f t="shared" si="73"/>
        <v>0</v>
      </c>
      <c r="O1119">
        <f ca="1">SUM($N$2:N1119)/M1119</f>
        <v>122.3250093971115</v>
      </c>
    </row>
    <row r="1120" spans="1:15" x14ac:dyDescent="0.2">
      <c r="A1120">
        <v>1118</v>
      </c>
      <c r="B1120" s="11">
        <f t="shared" si="70"/>
        <v>0</v>
      </c>
      <c r="C1120">
        <f ca="1">SUM($B$2:B1120)/A1120</f>
        <v>120.08149094152813</v>
      </c>
      <c r="E1120">
        <v>1118</v>
      </c>
      <c r="F1120" s="11">
        <f t="shared" si="71"/>
        <v>0</v>
      </c>
      <c r="G1120">
        <f ca="1">SUM($F$2:F1120)/E1120</f>
        <v>122.21559525632696</v>
      </c>
      <c r="I1120">
        <v>1118</v>
      </c>
      <c r="J1120">
        <f t="shared" si="72"/>
        <v>0</v>
      </c>
      <c r="K1120">
        <f ca="1">SUM($J$2:J1120)/I1120</f>
        <v>120.08149094152813</v>
      </c>
      <c r="M1120">
        <v>1118</v>
      </c>
      <c r="N1120">
        <f t="shared" si="73"/>
        <v>0</v>
      </c>
      <c r="O1120">
        <f ca="1">SUM($N$2:N1120)/M1120</f>
        <v>122.21559525632696</v>
      </c>
    </row>
    <row r="1121" spans="1:15" x14ac:dyDescent="0.2">
      <c r="A1121">
        <v>1119</v>
      </c>
      <c r="B1121" s="11">
        <f t="shared" si="70"/>
        <v>0</v>
      </c>
      <c r="C1121">
        <f ca="1">SUM($B$2:B1121)/A1121</f>
        <v>119.97417951083864</v>
      </c>
      <c r="E1121">
        <v>1119</v>
      </c>
      <c r="F1121" s="11">
        <f t="shared" si="71"/>
        <v>0</v>
      </c>
      <c r="G1121">
        <f ca="1">SUM($F$2:F1121)/E1121</f>
        <v>122.10637667254115</v>
      </c>
      <c r="I1121">
        <v>1119</v>
      </c>
      <c r="J1121">
        <f t="shared" si="72"/>
        <v>0</v>
      </c>
      <c r="K1121">
        <f ca="1">SUM($J$2:J1121)/I1121</f>
        <v>119.97417951083864</v>
      </c>
      <c r="M1121">
        <v>1119</v>
      </c>
      <c r="N1121">
        <f t="shared" si="73"/>
        <v>0</v>
      </c>
      <c r="O1121">
        <f ca="1">SUM($N$2:N1121)/M1121</f>
        <v>122.10637667254115</v>
      </c>
    </row>
    <row r="1122" spans="1:15" x14ac:dyDescent="0.2">
      <c r="A1122">
        <v>1120</v>
      </c>
      <c r="B1122" s="11">
        <f t="shared" si="70"/>
        <v>0</v>
      </c>
      <c r="C1122">
        <f ca="1">SUM($B$2:B1122)/A1122</f>
        <v>119.86705970770397</v>
      </c>
      <c r="E1122">
        <v>1120</v>
      </c>
      <c r="F1122" s="11">
        <f t="shared" si="71"/>
        <v>0</v>
      </c>
      <c r="G1122">
        <f ca="1">SUM($F$2:F1122)/E1122</f>
        <v>121.99735312194066</v>
      </c>
      <c r="I1122">
        <v>1120</v>
      </c>
      <c r="J1122">
        <f t="shared" si="72"/>
        <v>0</v>
      </c>
      <c r="K1122">
        <f ca="1">SUM($J$2:J1122)/I1122</f>
        <v>119.86705970770397</v>
      </c>
      <c r="M1122">
        <v>1120</v>
      </c>
      <c r="N1122">
        <f t="shared" si="73"/>
        <v>0</v>
      </c>
      <c r="O1122">
        <f ca="1">SUM($N$2:N1122)/M1122</f>
        <v>121.99735312194066</v>
      </c>
    </row>
    <row r="1123" spans="1:15" x14ac:dyDescent="0.2">
      <c r="A1123">
        <v>1121</v>
      </c>
      <c r="B1123" s="11">
        <f t="shared" si="70"/>
        <v>0</v>
      </c>
      <c r="C1123">
        <f ca="1">SUM($B$2:B1123)/A1123</f>
        <v>119.76013101929388</v>
      </c>
      <c r="E1123">
        <v>1121</v>
      </c>
      <c r="F1123" s="11">
        <f t="shared" si="71"/>
        <v>0</v>
      </c>
      <c r="G1123">
        <f ca="1">SUM($F$2:F1123)/E1123</f>
        <v>121.88852408258121</v>
      </c>
      <c r="I1123">
        <v>1121</v>
      </c>
      <c r="J1123">
        <f t="shared" si="72"/>
        <v>0</v>
      </c>
      <c r="K1123">
        <f ca="1">SUM($J$2:J1123)/I1123</f>
        <v>119.76013101929388</v>
      </c>
      <c r="M1123">
        <v>1121</v>
      </c>
      <c r="N1123">
        <f t="shared" si="73"/>
        <v>0</v>
      </c>
      <c r="O1123">
        <f ca="1">SUM($N$2:N1123)/M1123</f>
        <v>121.88852408258121</v>
      </c>
    </row>
    <row r="1124" spans="1:15" x14ac:dyDescent="0.2">
      <c r="A1124">
        <v>1122</v>
      </c>
      <c r="B1124" s="11">
        <f t="shared" si="70"/>
        <v>0</v>
      </c>
      <c r="C1124">
        <f ca="1">SUM($B$2:B1124)/A1124</f>
        <v>119.65339293460646</v>
      </c>
      <c r="E1124">
        <v>1122</v>
      </c>
      <c r="F1124" s="11">
        <f t="shared" si="71"/>
        <v>0</v>
      </c>
      <c r="G1124">
        <f ca="1">SUM($F$2:F1124)/E1124</f>
        <v>121.77988903437928</v>
      </c>
      <c r="I1124">
        <v>1122</v>
      </c>
      <c r="J1124">
        <f t="shared" si="72"/>
        <v>0</v>
      </c>
      <c r="K1124">
        <f ca="1">SUM($J$2:J1124)/I1124</f>
        <v>119.65339293460646</v>
      </c>
      <c r="M1124">
        <v>1122</v>
      </c>
      <c r="N1124">
        <f t="shared" si="73"/>
        <v>0</v>
      </c>
      <c r="O1124">
        <f ca="1">SUM($N$2:N1124)/M1124</f>
        <v>121.77988903437928</v>
      </c>
    </row>
    <row r="1125" spans="1:15" x14ac:dyDescent="0.2">
      <c r="A1125">
        <v>1123</v>
      </c>
      <c r="B1125" s="11">
        <f t="shared" si="70"/>
        <v>0</v>
      </c>
      <c r="C1125">
        <f ca="1">SUM($B$2:B1125)/A1125</f>
        <v>119.54684494445988</v>
      </c>
      <c r="E1125">
        <v>1123</v>
      </c>
      <c r="F1125" s="11">
        <f t="shared" si="71"/>
        <v>0</v>
      </c>
      <c r="G1125">
        <f ca="1">SUM($F$2:F1125)/E1125</f>
        <v>121.67144745910377</v>
      </c>
      <c r="I1125">
        <v>1123</v>
      </c>
      <c r="J1125">
        <f t="shared" si="72"/>
        <v>0</v>
      </c>
      <c r="K1125">
        <f ca="1">SUM($J$2:J1125)/I1125</f>
        <v>119.54684494445988</v>
      </c>
      <c r="M1125">
        <v>1123</v>
      </c>
      <c r="N1125">
        <f t="shared" si="73"/>
        <v>0</v>
      </c>
      <c r="O1125">
        <f ca="1">SUM($N$2:N1125)/M1125</f>
        <v>121.67144745910377</v>
      </c>
    </row>
    <row r="1126" spans="1:15" x14ac:dyDescent="0.2">
      <c r="A1126">
        <v>1124</v>
      </c>
      <c r="B1126" s="11">
        <f t="shared" si="70"/>
        <v>0</v>
      </c>
      <c r="C1126">
        <f ca="1">SUM($B$2:B1126)/A1126</f>
        <v>119.44048654148438</v>
      </c>
      <c r="E1126">
        <v>1124</v>
      </c>
      <c r="F1126" s="11">
        <f t="shared" si="71"/>
        <v>0</v>
      </c>
      <c r="G1126">
        <f ca="1">SUM($F$2:F1126)/E1126</f>
        <v>121.56319884036792</v>
      </c>
      <c r="I1126">
        <v>1124</v>
      </c>
      <c r="J1126">
        <f t="shared" si="72"/>
        <v>0</v>
      </c>
      <c r="K1126">
        <f ca="1">SUM($J$2:J1126)/I1126</f>
        <v>119.44048654148438</v>
      </c>
      <c r="M1126">
        <v>1124</v>
      </c>
      <c r="N1126">
        <f t="shared" si="73"/>
        <v>0</v>
      </c>
      <c r="O1126">
        <f ca="1">SUM($N$2:N1126)/M1126</f>
        <v>121.56319884036792</v>
      </c>
    </row>
    <row r="1127" spans="1:15" x14ac:dyDescent="0.2">
      <c r="A1127">
        <v>1125</v>
      </c>
      <c r="B1127" s="11">
        <f t="shared" si="70"/>
        <v>0</v>
      </c>
      <c r="C1127">
        <f ca="1">SUM($B$2:B1127)/A1127</f>
        <v>119.33431722011417</v>
      </c>
      <c r="E1127">
        <v>1125</v>
      </c>
      <c r="F1127" s="11">
        <f t="shared" si="71"/>
        <v>0</v>
      </c>
      <c r="G1127">
        <f ca="1">SUM($F$2:F1127)/E1127</f>
        <v>121.45514266362093</v>
      </c>
      <c r="I1127">
        <v>1125</v>
      </c>
      <c r="J1127">
        <f t="shared" si="72"/>
        <v>0</v>
      </c>
      <c r="K1127">
        <f ca="1">SUM($J$2:J1127)/I1127</f>
        <v>119.33431722011417</v>
      </c>
      <c r="M1127">
        <v>1125</v>
      </c>
      <c r="N1127">
        <f t="shared" si="73"/>
        <v>0</v>
      </c>
      <c r="O1127">
        <f ca="1">SUM($N$2:N1127)/M1127</f>
        <v>121.45514266362093</v>
      </c>
    </row>
    <row r="1128" spans="1:15" x14ac:dyDescent="0.2">
      <c r="A1128">
        <v>1126</v>
      </c>
      <c r="B1128" s="11">
        <f t="shared" si="70"/>
        <v>0</v>
      </c>
      <c r="C1128">
        <f ca="1">SUM($B$2:B1128)/A1128</f>
        <v>119.22833647657943</v>
      </c>
      <c r="E1128">
        <v>1126</v>
      </c>
      <c r="F1128" s="11">
        <f t="shared" si="71"/>
        <v>0</v>
      </c>
      <c r="G1128">
        <f ca="1">SUM($F$2:F1128)/E1128</f>
        <v>121.34727841613991</v>
      </c>
      <c r="I1128">
        <v>1126</v>
      </c>
      <c r="J1128">
        <f t="shared" si="72"/>
        <v>0</v>
      </c>
      <c r="K1128">
        <f ca="1">SUM($J$2:J1128)/I1128</f>
        <v>119.22833647657943</v>
      </c>
      <c r="M1128">
        <v>1126</v>
      </c>
      <c r="N1128">
        <f t="shared" si="73"/>
        <v>0</v>
      </c>
      <c r="O1128">
        <f ca="1">SUM($N$2:N1128)/M1128</f>
        <v>121.34727841613991</v>
      </c>
    </row>
    <row r="1129" spans="1:15" x14ac:dyDescent="0.2">
      <c r="A1129">
        <v>1127</v>
      </c>
      <c r="B1129" s="11">
        <f t="shared" si="70"/>
        <v>0</v>
      </c>
      <c r="C1129">
        <f ca="1">SUM($B$2:B1129)/A1129</f>
        <v>119.12254380889836</v>
      </c>
      <c r="E1129">
        <v>1127</v>
      </c>
      <c r="F1129" s="11">
        <f t="shared" si="71"/>
        <v>0</v>
      </c>
      <c r="G1129">
        <f ca="1">SUM($F$2:F1129)/E1129</f>
        <v>121.23960558702179</v>
      </c>
      <c r="I1129">
        <v>1127</v>
      </c>
      <c r="J1129">
        <f t="shared" si="72"/>
        <v>0</v>
      </c>
      <c r="K1129">
        <f ca="1">SUM($J$2:J1129)/I1129</f>
        <v>119.12254380889836</v>
      </c>
      <c r="M1129">
        <v>1127</v>
      </c>
      <c r="N1129">
        <f t="shared" si="73"/>
        <v>0</v>
      </c>
      <c r="O1129">
        <f ca="1">SUM($N$2:N1129)/M1129</f>
        <v>121.23960558702179</v>
      </c>
    </row>
    <row r="1130" spans="1:15" x14ac:dyDescent="0.2">
      <c r="A1130">
        <v>1128</v>
      </c>
      <c r="B1130" s="11">
        <f t="shared" si="70"/>
        <v>0</v>
      </c>
      <c r="C1130">
        <f ca="1">SUM($B$2:B1130)/A1130</f>
        <v>119.01693871686919</v>
      </c>
      <c r="E1130">
        <v>1128</v>
      </c>
      <c r="F1130" s="11">
        <f t="shared" si="71"/>
        <v>0</v>
      </c>
      <c r="G1130">
        <f ca="1">SUM($F$2:F1130)/E1130</f>
        <v>121.13212366717514</v>
      </c>
      <c r="I1130">
        <v>1128</v>
      </c>
      <c r="J1130">
        <f t="shared" si="72"/>
        <v>0</v>
      </c>
      <c r="K1130">
        <f ca="1">SUM($J$2:J1130)/I1130</f>
        <v>119.01693871686919</v>
      </c>
      <c r="M1130">
        <v>1128</v>
      </c>
      <c r="N1130">
        <f t="shared" si="73"/>
        <v>0</v>
      </c>
      <c r="O1130">
        <f ca="1">SUM($N$2:N1130)/M1130</f>
        <v>121.13212366717514</v>
      </c>
    </row>
    <row r="1131" spans="1:15" x14ac:dyDescent="0.2">
      <c r="A1131">
        <v>1129</v>
      </c>
      <c r="B1131" s="11">
        <f t="shared" si="70"/>
        <v>0</v>
      </c>
      <c r="C1131">
        <f ca="1">SUM($B$2:B1131)/A1131</f>
        <v>118.91152070206239</v>
      </c>
      <c r="E1131">
        <v>1129</v>
      </c>
      <c r="F1131" s="11">
        <f t="shared" si="71"/>
        <v>0</v>
      </c>
      <c r="G1131">
        <f ca="1">SUM($F$2:F1131)/E1131</f>
        <v>121.02483214931226</v>
      </c>
      <c r="I1131">
        <v>1129</v>
      </c>
      <c r="J1131">
        <f t="shared" si="72"/>
        <v>0</v>
      </c>
      <c r="K1131">
        <f ca="1">SUM($J$2:J1131)/I1131</f>
        <v>118.91152070206239</v>
      </c>
      <c r="M1131">
        <v>1129</v>
      </c>
      <c r="N1131">
        <f t="shared" si="73"/>
        <v>0</v>
      </c>
      <c r="O1131">
        <f ca="1">SUM($N$2:N1131)/M1131</f>
        <v>121.02483214931226</v>
      </c>
    </row>
    <row r="1132" spans="1:15" x14ac:dyDescent="0.2">
      <c r="A1132">
        <v>1130</v>
      </c>
      <c r="B1132" s="11">
        <f t="shared" si="70"/>
        <v>0</v>
      </c>
      <c r="C1132">
        <f ca="1">SUM($B$2:B1132)/A1132</f>
        <v>118.80628926781279</v>
      </c>
      <c r="E1132">
        <v>1130</v>
      </c>
      <c r="F1132" s="11">
        <f t="shared" si="71"/>
        <v>0</v>
      </c>
      <c r="G1132">
        <f ca="1">SUM($F$2:F1132)/E1132</f>
        <v>120.91773052794119</v>
      </c>
      <c r="I1132">
        <v>1130</v>
      </c>
      <c r="J1132">
        <f t="shared" si="72"/>
        <v>0</v>
      </c>
      <c r="K1132">
        <f ca="1">SUM($J$2:J1132)/I1132</f>
        <v>118.80628926781279</v>
      </c>
      <c r="M1132">
        <v>1130</v>
      </c>
      <c r="N1132">
        <f t="shared" si="73"/>
        <v>0</v>
      </c>
      <c r="O1132">
        <f ca="1">SUM($N$2:N1132)/M1132</f>
        <v>120.91773052794119</v>
      </c>
    </row>
    <row r="1133" spans="1:15" x14ac:dyDescent="0.2">
      <c r="A1133">
        <v>1131</v>
      </c>
      <c r="B1133" s="11">
        <f t="shared" si="70"/>
        <v>0</v>
      </c>
      <c r="C1133">
        <f ca="1">SUM($B$2:B1133)/A1133</f>
        <v>118.70124391921171</v>
      </c>
      <c r="E1133">
        <v>1131</v>
      </c>
      <c r="F1133" s="11">
        <f t="shared" si="71"/>
        <v>0</v>
      </c>
      <c r="G1133">
        <f ca="1">SUM($F$2:F1133)/E1133</f>
        <v>120.81081829935769</v>
      </c>
      <c r="I1133">
        <v>1131</v>
      </c>
      <c r="J1133">
        <f t="shared" si="72"/>
        <v>0</v>
      </c>
      <c r="K1133">
        <f ca="1">SUM($J$2:J1133)/I1133</f>
        <v>118.70124391921171</v>
      </c>
      <c r="M1133">
        <v>1131</v>
      </c>
      <c r="N1133">
        <f t="shared" si="73"/>
        <v>0</v>
      </c>
      <c r="O1133">
        <f ca="1">SUM($N$2:N1133)/M1133</f>
        <v>120.81081829935769</v>
      </c>
    </row>
    <row r="1134" spans="1:15" x14ac:dyDescent="0.2">
      <c r="A1134">
        <v>1132</v>
      </c>
      <c r="B1134" s="11">
        <f t="shared" si="70"/>
        <v>0</v>
      </c>
      <c r="C1134">
        <f ca="1">SUM($B$2:B1134)/A1134</f>
        <v>118.59638416309933</v>
      </c>
      <c r="E1134">
        <v>1132</v>
      </c>
      <c r="F1134" s="11">
        <f t="shared" si="71"/>
        <v>0</v>
      </c>
      <c r="G1134">
        <f ca="1">SUM($F$2:F1134)/E1134</f>
        <v>120.70409496163741</v>
      </c>
      <c r="I1134">
        <v>1132</v>
      </c>
      <c r="J1134">
        <f t="shared" si="72"/>
        <v>0</v>
      </c>
      <c r="K1134">
        <f ca="1">SUM($J$2:J1134)/I1134</f>
        <v>118.59638416309933</v>
      </c>
      <c r="M1134">
        <v>1132</v>
      </c>
      <c r="N1134">
        <f t="shared" si="73"/>
        <v>0</v>
      </c>
      <c r="O1134">
        <f ca="1">SUM($N$2:N1134)/M1134</f>
        <v>120.70409496163741</v>
      </c>
    </row>
    <row r="1135" spans="1:15" x14ac:dyDescent="0.2">
      <c r="A1135">
        <v>1133</v>
      </c>
      <c r="B1135" s="11">
        <f t="shared" si="70"/>
        <v>0</v>
      </c>
      <c r="C1135">
        <f ca="1">SUM($B$2:B1135)/A1135</f>
        <v>118.49170950805687</v>
      </c>
      <c r="E1135">
        <v>1133</v>
      </c>
      <c r="F1135" s="11">
        <f t="shared" si="71"/>
        <v>0</v>
      </c>
      <c r="G1135">
        <f ca="1">SUM($F$2:F1135)/E1135</f>
        <v>120.59756001462802</v>
      </c>
      <c r="I1135">
        <v>1133</v>
      </c>
      <c r="J1135">
        <f t="shared" si="72"/>
        <v>0</v>
      </c>
      <c r="K1135">
        <f ca="1">SUM($J$2:J1135)/I1135</f>
        <v>118.49170950805687</v>
      </c>
      <c r="M1135">
        <v>1133</v>
      </c>
      <c r="N1135">
        <f t="shared" si="73"/>
        <v>0</v>
      </c>
      <c r="O1135">
        <f ca="1">SUM($N$2:N1135)/M1135</f>
        <v>120.59756001462802</v>
      </c>
    </row>
    <row r="1136" spans="1:15" x14ac:dyDescent="0.2">
      <c r="A1136">
        <v>1134</v>
      </c>
      <c r="B1136" s="11">
        <f t="shared" si="70"/>
        <v>0</v>
      </c>
      <c r="C1136">
        <f ca="1">SUM($B$2:B1136)/A1136</f>
        <v>118.38721946439898</v>
      </c>
      <c r="E1136">
        <v>1134</v>
      </c>
      <c r="F1136" s="11">
        <f t="shared" si="71"/>
        <v>0</v>
      </c>
      <c r="G1136">
        <f ca="1">SUM($F$2:F1136)/E1136</f>
        <v>120.49121295994139</v>
      </c>
      <c r="I1136">
        <v>1134</v>
      </c>
      <c r="J1136">
        <f t="shared" si="72"/>
        <v>0</v>
      </c>
      <c r="K1136">
        <f ca="1">SUM($J$2:J1136)/I1136</f>
        <v>118.38721946439898</v>
      </c>
      <c r="M1136">
        <v>1134</v>
      </c>
      <c r="N1136">
        <f t="shared" si="73"/>
        <v>0</v>
      </c>
      <c r="O1136">
        <f ca="1">SUM($N$2:N1136)/M1136</f>
        <v>120.49121295994139</v>
      </c>
    </row>
    <row r="1137" spans="1:15" x14ac:dyDescent="0.2">
      <c r="A1137">
        <v>1135</v>
      </c>
      <c r="B1137" s="11">
        <f t="shared" si="70"/>
        <v>0</v>
      </c>
      <c r="C1137">
        <f ca="1">SUM($B$2:B1137)/A1137</f>
        <v>118.28291354416604</v>
      </c>
      <c r="E1137">
        <v>1135</v>
      </c>
      <c r="F1137" s="11">
        <f t="shared" si="71"/>
        <v>0</v>
      </c>
      <c r="G1137">
        <f ca="1">SUM($F$2:F1137)/E1137</f>
        <v>120.38505330094586</v>
      </c>
      <c r="I1137">
        <v>1135</v>
      </c>
      <c r="J1137">
        <f t="shared" si="72"/>
        <v>0</v>
      </c>
      <c r="K1137">
        <f ca="1">SUM($J$2:J1137)/I1137</f>
        <v>118.28291354416604</v>
      </c>
      <c r="M1137">
        <v>1135</v>
      </c>
      <c r="N1137">
        <f t="shared" si="73"/>
        <v>0</v>
      </c>
      <c r="O1137">
        <f ca="1">SUM($N$2:N1137)/M1137</f>
        <v>120.38505330094586</v>
      </c>
    </row>
    <row r="1138" spans="1:15" x14ac:dyDescent="0.2">
      <c r="A1138">
        <v>1136</v>
      </c>
      <c r="B1138" s="11">
        <f t="shared" si="70"/>
        <v>0</v>
      </c>
      <c r="C1138">
        <f ca="1">SUM($B$2:B1138)/A1138</f>
        <v>118.17879126111659</v>
      </c>
      <c r="E1138">
        <v>1136</v>
      </c>
      <c r="F1138" s="11">
        <f t="shared" si="71"/>
        <v>0</v>
      </c>
      <c r="G1138">
        <f ca="1">SUM($F$2:F1138)/E1138</f>
        <v>120.27908054275841</v>
      </c>
      <c r="I1138">
        <v>1136</v>
      </c>
      <c r="J1138">
        <f t="shared" si="72"/>
        <v>0</v>
      </c>
      <c r="K1138">
        <f ca="1">SUM($J$2:J1138)/I1138</f>
        <v>118.17879126111659</v>
      </c>
      <c r="M1138">
        <v>1136</v>
      </c>
      <c r="N1138">
        <f t="shared" si="73"/>
        <v>0</v>
      </c>
      <c r="O1138">
        <f ca="1">SUM($N$2:N1138)/M1138</f>
        <v>120.27908054275841</v>
      </c>
    </row>
    <row r="1139" spans="1:15" x14ac:dyDescent="0.2">
      <c r="A1139">
        <v>1137</v>
      </c>
      <c r="B1139" s="11">
        <f t="shared" si="70"/>
        <v>0</v>
      </c>
      <c r="C1139">
        <f ca="1">SUM($B$2:B1139)/A1139</f>
        <v>118.07485213071983</v>
      </c>
      <c r="E1139">
        <v>1137</v>
      </c>
      <c r="F1139" s="11">
        <f t="shared" si="71"/>
        <v>0</v>
      </c>
      <c r="G1139">
        <f ca="1">SUM($F$2:F1139)/E1139</f>
        <v>120.17329419223707</v>
      </c>
      <c r="I1139">
        <v>1137</v>
      </c>
      <c r="J1139">
        <f t="shared" si="72"/>
        <v>0</v>
      </c>
      <c r="K1139">
        <f ca="1">SUM($J$2:J1139)/I1139</f>
        <v>118.07485213071983</v>
      </c>
      <c r="M1139">
        <v>1137</v>
      </c>
      <c r="N1139">
        <f t="shared" si="73"/>
        <v>0</v>
      </c>
      <c r="O1139">
        <f ca="1">SUM($N$2:N1139)/M1139</f>
        <v>120.17329419223707</v>
      </c>
    </row>
    <row r="1140" spans="1:15" x14ac:dyDescent="0.2">
      <c r="A1140">
        <v>1138</v>
      </c>
      <c r="B1140" s="11">
        <f t="shared" si="70"/>
        <v>0</v>
      </c>
      <c r="C1140">
        <f ca="1">SUM($B$2:B1140)/A1140</f>
        <v>117.97109567014802</v>
      </c>
      <c r="E1140">
        <v>1138</v>
      </c>
      <c r="F1140" s="11">
        <f t="shared" si="71"/>
        <v>0</v>
      </c>
      <c r="G1140">
        <f ca="1">SUM($F$2:F1140)/E1140</f>
        <v>120.06769375797325</v>
      </c>
      <c r="I1140">
        <v>1138</v>
      </c>
      <c r="J1140">
        <f t="shared" si="72"/>
        <v>0</v>
      </c>
      <c r="K1140">
        <f ca="1">SUM($J$2:J1140)/I1140</f>
        <v>117.97109567014802</v>
      </c>
      <c r="M1140">
        <v>1138</v>
      </c>
      <c r="N1140">
        <f t="shared" si="73"/>
        <v>0</v>
      </c>
      <c r="O1140">
        <f ca="1">SUM($N$2:N1140)/M1140</f>
        <v>120.06769375797325</v>
      </c>
    </row>
    <row r="1141" spans="1:15" x14ac:dyDescent="0.2">
      <c r="A1141">
        <v>1139</v>
      </c>
      <c r="B1141" s="11">
        <f t="shared" si="70"/>
        <v>0</v>
      </c>
      <c r="C1141">
        <f ca="1">SUM($B$2:B1141)/A1141</f>
        <v>117.86752139826905</v>
      </c>
      <c r="E1141">
        <v>1139</v>
      </c>
      <c r="F1141" s="11">
        <f t="shared" si="71"/>
        <v>0</v>
      </c>
      <c r="G1141">
        <f ca="1">SUM($F$2:F1141)/E1141</f>
        <v>119.96227875028406</v>
      </c>
      <c r="I1141">
        <v>1139</v>
      </c>
      <c r="J1141">
        <f t="shared" si="72"/>
        <v>0</v>
      </c>
      <c r="K1141">
        <f ca="1">SUM($J$2:J1141)/I1141</f>
        <v>117.86752139826905</v>
      </c>
      <c r="M1141">
        <v>1139</v>
      </c>
      <c r="N1141">
        <f t="shared" si="73"/>
        <v>0</v>
      </c>
      <c r="O1141">
        <f ca="1">SUM($N$2:N1141)/M1141</f>
        <v>119.96227875028406</v>
      </c>
    </row>
    <row r="1142" spans="1:15" x14ac:dyDescent="0.2">
      <c r="A1142">
        <v>1140</v>
      </c>
      <c r="B1142" s="11">
        <f t="shared" si="70"/>
        <v>0</v>
      </c>
      <c r="C1142">
        <f ca="1">SUM($B$2:B1142)/A1142</f>
        <v>117.76412883563899</v>
      </c>
      <c r="E1142">
        <v>1140</v>
      </c>
      <c r="F1142" s="11">
        <f t="shared" si="71"/>
        <v>0</v>
      </c>
      <c r="G1142">
        <f ca="1">SUM($F$2:F1142)/E1142</f>
        <v>119.85704868120486</v>
      </c>
      <c r="I1142">
        <v>1140</v>
      </c>
      <c r="J1142">
        <f t="shared" si="72"/>
        <v>0</v>
      </c>
      <c r="K1142">
        <f ca="1">SUM($J$2:J1142)/I1142</f>
        <v>117.76412883563899</v>
      </c>
      <c r="M1142">
        <v>1140</v>
      </c>
      <c r="N1142">
        <f t="shared" si="73"/>
        <v>0</v>
      </c>
      <c r="O1142">
        <f ca="1">SUM($N$2:N1142)/M1142</f>
        <v>119.85704868120486</v>
      </c>
    </row>
    <row r="1143" spans="1:15" x14ac:dyDescent="0.2">
      <c r="A1143">
        <v>1141</v>
      </c>
      <c r="B1143" s="11">
        <f t="shared" si="70"/>
        <v>0</v>
      </c>
      <c r="C1143">
        <f ca="1">SUM($B$2:B1143)/A1143</f>
        <v>117.66091750449469</v>
      </c>
      <c r="E1143">
        <v>1141</v>
      </c>
      <c r="F1143" s="11">
        <f t="shared" si="71"/>
        <v>0</v>
      </c>
      <c r="G1143">
        <f ca="1">SUM($F$2:F1143)/E1143</f>
        <v>119.75200306448164</v>
      </c>
      <c r="I1143">
        <v>1141</v>
      </c>
      <c r="J1143">
        <f t="shared" si="72"/>
        <v>0</v>
      </c>
      <c r="K1143">
        <f ca="1">SUM($J$2:J1143)/I1143</f>
        <v>117.66091750449469</v>
      </c>
      <c r="M1143">
        <v>1141</v>
      </c>
      <c r="N1143">
        <f t="shared" si="73"/>
        <v>0</v>
      </c>
      <c r="O1143">
        <f ca="1">SUM($N$2:N1143)/M1143</f>
        <v>119.75200306448164</v>
      </c>
    </row>
    <row r="1144" spans="1:15" x14ac:dyDescent="0.2">
      <c r="A1144">
        <v>1142</v>
      </c>
      <c r="B1144" s="11">
        <f t="shared" si="70"/>
        <v>0</v>
      </c>
      <c r="C1144">
        <f ca="1">SUM($B$2:B1144)/A1144</f>
        <v>117.55788692874644</v>
      </c>
      <c r="E1144">
        <v>1142</v>
      </c>
      <c r="F1144" s="11">
        <f t="shared" si="71"/>
        <v>0</v>
      </c>
      <c r="G1144">
        <f ca="1">SUM($F$2:F1144)/E1144</f>
        <v>119.64714141556352</v>
      </c>
      <c r="I1144">
        <v>1142</v>
      </c>
      <c r="J1144">
        <f t="shared" si="72"/>
        <v>0</v>
      </c>
      <c r="K1144">
        <f ca="1">SUM($J$2:J1144)/I1144</f>
        <v>117.55788692874644</v>
      </c>
      <c r="M1144">
        <v>1142</v>
      </c>
      <c r="N1144">
        <f t="shared" si="73"/>
        <v>0</v>
      </c>
      <c r="O1144">
        <f ca="1">SUM($N$2:N1144)/M1144</f>
        <v>119.64714141556352</v>
      </c>
    </row>
    <row r="1145" spans="1:15" x14ac:dyDescent="0.2">
      <c r="A1145">
        <v>1143</v>
      </c>
      <c r="B1145" s="11">
        <f t="shared" si="70"/>
        <v>0</v>
      </c>
      <c r="C1145">
        <f ca="1">SUM($B$2:B1145)/A1145</f>
        <v>117.45503663397064</v>
      </c>
      <c r="E1145">
        <v>1143</v>
      </c>
      <c r="F1145" s="11">
        <f t="shared" si="71"/>
        <v>0</v>
      </c>
      <c r="G1145">
        <f ca="1">SUM($F$2:F1145)/E1145</f>
        <v>119.54246325159541</v>
      </c>
      <c r="I1145">
        <v>1143</v>
      </c>
      <c r="J1145">
        <f t="shared" si="72"/>
        <v>0</v>
      </c>
      <c r="K1145">
        <f ca="1">SUM($J$2:J1145)/I1145</f>
        <v>117.45503663397064</v>
      </c>
      <c r="M1145">
        <v>1143</v>
      </c>
      <c r="N1145">
        <f t="shared" si="73"/>
        <v>0</v>
      </c>
      <c r="O1145">
        <f ca="1">SUM($N$2:N1145)/M1145</f>
        <v>119.54246325159541</v>
      </c>
    </row>
    <row r="1146" spans="1:15" x14ac:dyDescent="0.2">
      <c r="A1146">
        <v>1144</v>
      </c>
      <c r="B1146" s="11">
        <f t="shared" si="70"/>
        <v>0</v>
      </c>
      <c r="C1146">
        <f ca="1">SUM($B$2:B1146)/A1146</f>
        <v>117.35236614740249</v>
      </c>
      <c r="E1146">
        <v>1144</v>
      </c>
      <c r="F1146" s="11">
        <f t="shared" si="71"/>
        <v>0</v>
      </c>
      <c r="G1146">
        <f ca="1">SUM($F$2:F1146)/E1146</f>
        <v>119.43796809141044</v>
      </c>
      <c r="I1146">
        <v>1144</v>
      </c>
      <c r="J1146">
        <f t="shared" si="72"/>
        <v>0</v>
      </c>
      <c r="K1146">
        <f ca="1">SUM($J$2:J1146)/I1146</f>
        <v>117.35236614740249</v>
      </c>
      <c r="M1146">
        <v>1144</v>
      </c>
      <c r="N1146">
        <f t="shared" si="73"/>
        <v>0</v>
      </c>
      <c r="O1146">
        <f ca="1">SUM($N$2:N1146)/M1146</f>
        <v>119.43796809141044</v>
      </c>
    </row>
    <row r="1147" spans="1:15" x14ac:dyDescent="0.2">
      <c r="A1147">
        <v>1145</v>
      </c>
      <c r="B1147" s="11">
        <f t="shared" si="70"/>
        <v>0</v>
      </c>
      <c r="C1147">
        <f ca="1">SUM($B$2:B1147)/A1147</f>
        <v>117.24987499792877</v>
      </c>
      <c r="E1147">
        <v>1145</v>
      </c>
      <c r="F1147" s="11">
        <f t="shared" si="71"/>
        <v>0</v>
      </c>
      <c r="G1147">
        <f ca="1">SUM($F$2:F1147)/E1147</f>
        <v>119.33365545552275</v>
      </c>
      <c r="I1147">
        <v>1145</v>
      </c>
      <c r="J1147">
        <f t="shared" si="72"/>
        <v>0</v>
      </c>
      <c r="K1147">
        <f ca="1">SUM($J$2:J1147)/I1147</f>
        <v>117.24987499792877</v>
      </c>
      <c r="M1147">
        <v>1145</v>
      </c>
      <c r="N1147">
        <f t="shared" si="73"/>
        <v>0</v>
      </c>
      <c r="O1147">
        <f ca="1">SUM($N$2:N1147)/M1147</f>
        <v>119.33365545552275</v>
      </c>
    </row>
    <row r="1148" spans="1:15" x14ac:dyDescent="0.2">
      <c r="A1148">
        <v>1146</v>
      </c>
      <c r="B1148" s="11">
        <f t="shared" si="70"/>
        <v>0</v>
      </c>
      <c r="C1148">
        <f ca="1">SUM($B$2:B1148)/A1148</f>
        <v>117.14756271608067</v>
      </c>
      <c r="E1148">
        <v>1146</v>
      </c>
      <c r="F1148" s="11">
        <f t="shared" si="71"/>
        <v>0</v>
      </c>
      <c r="G1148">
        <f ca="1">SUM($F$2:F1148)/E1148</f>
        <v>119.22952486612002</v>
      </c>
      <c r="I1148">
        <v>1146</v>
      </c>
      <c r="J1148">
        <f t="shared" si="72"/>
        <v>0</v>
      </c>
      <c r="K1148">
        <f ca="1">SUM($J$2:J1148)/I1148</f>
        <v>117.14756271608067</v>
      </c>
      <c r="M1148">
        <v>1146</v>
      </c>
      <c r="N1148">
        <f t="shared" si="73"/>
        <v>0</v>
      </c>
      <c r="O1148">
        <f ca="1">SUM($N$2:N1148)/M1148</f>
        <v>119.22952486612002</v>
      </c>
    </row>
    <row r="1149" spans="1:15" x14ac:dyDescent="0.2">
      <c r="A1149">
        <v>1147</v>
      </c>
      <c r="B1149" s="11">
        <f t="shared" si="70"/>
        <v>0</v>
      </c>
      <c r="C1149">
        <f ca="1">SUM($B$2:B1149)/A1149</f>
        <v>117.04542883402654</v>
      </c>
      <c r="E1149">
        <v>1147</v>
      </c>
      <c r="F1149" s="11">
        <f t="shared" si="71"/>
        <v>0</v>
      </c>
      <c r="G1149">
        <f ca="1">SUM($F$2:F1149)/E1149</f>
        <v>119.12557584705627</v>
      </c>
      <c r="I1149">
        <v>1147</v>
      </c>
      <c r="J1149">
        <f t="shared" si="72"/>
        <v>0</v>
      </c>
      <c r="K1149">
        <f ca="1">SUM($J$2:J1149)/I1149</f>
        <v>117.04542883402654</v>
      </c>
      <c r="M1149">
        <v>1147</v>
      </c>
      <c r="N1149">
        <f t="shared" si="73"/>
        <v>0</v>
      </c>
      <c r="O1149">
        <f ca="1">SUM($N$2:N1149)/M1149</f>
        <v>119.12557584705627</v>
      </c>
    </row>
    <row r="1150" spans="1:15" x14ac:dyDescent="0.2">
      <c r="A1150">
        <v>1148</v>
      </c>
      <c r="B1150" s="11">
        <f t="shared" si="70"/>
        <v>0</v>
      </c>
      <c r="C1150">
        <f ca="1">SUM($B$2:B1150)/A1150</f>
        <v>116.94347288556484</v>
      </c>
      <c r="E1150">
        <v>1148</v>
      </c>
      <c r="F1150" s="11">
        <f t="shared" si="71"/>
        <v>0</v>
      </c>
      <c r="G1150">
        <f ca="1">SUM($F$2:F1150)/E1150</f>
        <v>119.02180792384455</v>
      </c>
      <c r="I1150">
        <v>1148</v>
      </c>
      <c r="J1150">
        <f t="shared" si="72"/>
        <v>0</v>
      </c>
      <c r="K1150">
        <f ca="1">SUM($J$2:J1150)/I1150</f>
        <v>116.94347288556484</v>
      </c>
      <c r="M1150">
        <v>1148</v>
      </c>
      <c r="N1150">
        <f t="shared" si="73"/>
        <v>0</v>
      </c>
      <c r="O1150">
        <f ca="1">SUM($N$2:N1150)/M1150</f>
        <v>119.02180792384455</v>
      </c>
    </row>
    <row r="1151" spans="1:15" x14ac:dyDescent="0.2">
      <c r="A1151">
        <v>1149</v>
      </c>
      <c r="B1151" s="11">
        <f t="shared" si="70"/>
        <v>0</v>
      </c>
      <c r="C1151">
        <f ca="1">SUM($B$2:B1151)/A1151</f>
        <v>116.84169440611701</v>
      </c>
      <c r="E1151">
        <v>1149</v>
      </c>
      <c r="F1151" s="11">
        <f t="shared" si="71"/>
        <v>0</v>
      </c>
      <c r="G1151">
        <f ca="1">SUM($F$2:F1151)/E1151</f>
        <v>118.91822062364973</v>
      </c>
      <c r="I1151">
        <v>1149</v>
      </c>
      <c r="J1151">
        <f t="shared" si="72"/>
        <v>0</v>
      </c>
      <c r="K1151">
        <f ca="1">SUM($J$2:J1151)/I1151</f>
        <v>116.84169440611701</v>
      </c>
      <c r="M1151">
        <v>1149</v>
      </c>
      <c r="N1151">
        <f t="shared" si="73"/>
        <v>0</v>
      </c>
      <c r="O1151">
        <f ca="1">SUM($N$2:N1151)/M1151</f>
        <v>118.91822062364973</v>
      </c>
    </row>
    <row r="1152" spans="1:15" x14ac:dyDescent="0.2">
      <c r="A1152">
        <v>1150</v>
      </c>
      <c r="B1152" s="11">
        <f t="shared" si="70"/>
        <v>0</v>
      </c>
      <c r="C1152">
        <f ca="1">SUM($B$2:B1152)/A1152</f>
        <v>116.74009293272039</v>
      </c>
      <c r="E1152">
        <v>1150</v>
      </c>
      <c r="F1152" s="11">
        <f t="shared" si="71"/>
        <v>0</v>
      </c>
      <c r="G1152">
        <f ca="1">SUM($F$2:F1152)/E1152</f>
        <v>118.81481347528134</v>
      </c>
      <c r="I1152">
        <v>1150</v>
      </c>
      <c r="J1152">
        <f t="shared" si="72"/>
        <v>0</v>
      </c>
      <c r="K1152">
        <f ca="1">SUM($J$2:J1152)/I1152</f>
        <v>116.74009293272039</v>
      </c>
      <c r="M1152">
        <v>1150</v>
      </c>
      <c r="N1152">
        <f t="shared" si="73"/>
        <v>0</v>
      </c>
      <c r="O1152">
        <f ca="1">SUM($N$2:N1152)/M1152</f>
        <v>118.81481347528134</v>
      </c>
    </row>
    <row r="1153" spans="1:15" x14ac:dyDescent="0.2">
      <c r="A1153">
        <v>1151</v>
      </c>
      <c r="B1153" s="11">
        <f t="shared" si="70"/>
        <v>0</v>
      </c>
      <c r="C1153">
        <f ca="1">SUM($B$2:B1153)/A1153</f>
        <v>116.63866800402124</v>
      </c>
      <c r="E1153">
        <v>1151</v>
      </c>
      <c r="F1153" s="11">
        <f t="shared" si="71"/>
        <v>0</v>
      </c>
      <c r="G1153">
        <f ca="1">SUM($F$2:F1153)/E1153</f>
        <v>118.71158600918641</v>
      </c>
      <c r="I1153">
        <v>1151</v>
      </c>
      <c r="J1153">
        <f t="shared" si="72"/>
        <v>0</v>
      </c>
      <c r="K1153">
        <f ca="1">SUM($J$2:J1153)/I1153</f>
        <v>116.63866800402124</v>
      </c>
      <c r="M1153">
        <v>1151</v>
      </c>
      <c r="N1153">
        <f t="shared" si="73"/>
        <v>0</v>
      </c>
      <c r="O1153">
        <f ca="1">SUM($N$2:N1153)/M1153</f>
        <v>118.71158600918641</v>
      </c>
    </row>
    <row r="1154" spans="1:15" x14ac:dyDescent="0.2">
      <c r="A1154">
        <v>1152</v>
      </c>
      <c r="B1154" s="11">
        <f t="shared" si="70"/>
        <v>0</v>
      </c>
      <c r="C1154">
        <f ca="1">SUM($B$2:B1154)/A1154</f>
        <v>116.53741916026775</v>
      </c>
      <c r="E1154">
        <v>1152</v>
      </c>
      <c r="F1154" s="11">
        <f t="shared" si="71"/>
        <v>0</v>
      </c>
      <c r="G1154">
        <f ca="1">SUM($F$2:F1154)/E1154</f>
        <v>118.60853775744232</v>
      </c>
      <c r="I1154">
        <v>1152</v>
      </c>
      <c r="J1154">
        <f t="shared" si="72"/>
        <v>0</v>
      </c>
      <c r="K1154">
        <f ca="1">SUM($J$2:J1154)/I1154</f>
        <v>116.53741916026775</v>
      </c>
      <c r="M1154">
        <v>1152</v>
      </c>
      <c r="N1154">
        <f t="shared" si="73"/>
        <v>0</v>
      </c>
      <c r="O1154">
        <f ca="1">SUM($N$2:N1154)/M1154</f>
        <v>118.60853775744232</v>
      </c>
    </row>
    <row r="1155" spans="1:15" x14ac:dyDescent="0.2">
      <c r="A1155">
        <v>1153</v>
      </c>
      <c r="B1155" s="11">
        <f t="shared" ref="B1155:B1218" si="74">IF(ARCap-IF((A1155-IF(A1155/180&gt;1,ROUNDDOWN(A1155/180,0)*180,0))/30&lt;=1,IF(200*15*BaseSpeed/60*(YellowConnects+WhiteMHConnects+WhiteOHConnects+HoJConnects+WindfuryConnects+SSConnects+IronfoeConnects)*(A1155-180*ROUNDDOWN(A1155/180,0))&gt;1200,1200,200*15*BaseSpeed/60*(YellowConnects+WhiteMHConnects+WhiteOHConnects+HoJConnects+WindfuryConnects+SSConnects+IronfoeConnects)*(A1155-180*ROUNDDOWN(A1155/180,0))),0)&lt;0,ARCap,IF((A1155-IF(A1155/180&gt;1,ROUNDDOWN(A1154/180,0)*180,0))/30&lt;=1,IF(200*15*BaseSpeed/60*(YellowConnects+WhiteMHConnects+WhiteOHConnects+HoJConnects+WindfuryConnects+SSConnects+IronfoeConnects)*(A1155-180*ROUNDDOWN(A1155/180,0))&gt;1200,1200,200*15*BaseSpeed/60*(YellowConnects+WhiteMHConnects+WhiteOHConnects+HoJConnects+WindfuryConnects+SSConnects+IronfoeConnects)*(A1155-180*ROUNDDOWN(A1155/180,0))),0))</f>
        <v>0</v>
      </c>
      <c r="C1155">
        <f ca="1">SUM($B$2:B1155)/A1155</f>
        <v>116.43634594330307</v>
      </c>
      <c r="E1155">
        <v>1153</v>
      </c>
      <c r="F1155" s="11">
        <f t="shared" ref="F1155:F1218" si="75">IF(ARCap-IF((A1155-IF(A1155/180&gt;1,ROUNDDOWN(A1155/180,0)*180,0))/30&lt;=1,IF(200*15*BaseSpeed/60*(YellowConnects20+WhiteMHConnects20+WhiteOHConnects20+HoJConnects20+WindfuryConnects20+SSConnects20+IronfoeConnects20)*(A1155-180*ROUNDDOWN(A1155/180,0))&gt;1200,1200,200*15*BaseSpeed/60*(YellowConnects20+WhiteMHConnects20+WhiteOHConnects20+HoJConnects20+WindfuryConnects20+SSConnects20+IronfoeConnects20)*(A1155-180*ROUNDDOWN(A1155/180,0))),0)&lt;0,ARCap,IF((A1155-IF(A1155/180&gt;1,ROUNDDOWN(A1155/180,0)*180,0))/30&lt;=1,IF(200*15*BaseSpeed/60*(YellowConnects20+WhiteMHConnects20+WhiteOHConnects20+HoJConnects20+WindfuryConnects20+SSConnects20+IronfoeConnects20)*(A1155-180*ROUNDDOWN(A1155/180,0))&gt;1200,1200,200*15*BaseSpeed/60*(YellowConnects20+WhiteMHConnects20+WhiteOHConnects20+HoJConnects20+WindfuryConnects20+SSConnects20+IronfoeConnects20)*(A1155-180*ROUNDDOWN(A1155/180,0))),0))</f>
        <v>0</v>
      </c>
      <c r="G1155">
        <f ca="1">SUM($F$2:F1155)/E1155</f>
        <v>118.50566825374982</v>
      </c>
      <c r="I1155">
        <v>1153</v>
      </c>
      <c r="J1155">
        <f t="shared" ref="J1155:J1218" si="76">IF(ARCap-(B1155+BRE)&lt;0,ARCap,B1155+BRE)</f>
        <v>0</v>
      </c>
      <c r="K1155">
        <f ca="1">SUM($J$2:J1155)/I1155</f>
        <v>116.43634594330307</v>
      </c>
      <c r="M1155">
        <v>1153</v>
      </c>
      <c r="N1155">
        <f t="shared" ref="N1155:N1218" si="77">IF(ARCap-(F1155+BREArmorReduction20)&lt;0,ARCap,F1155+BREArmorReduction20)</f>
        <v>0</v>
      </c>
      <c r="O1155">
        <f ca="1">SUM($N$2:N1155)/M1155</f>
        <v>118.50566825374982</v>
      </c>
    </row>
    <row r="1156" spans="1:15" x14ac:dyDescent="0.2">
      <c r="A1156">
        <v>1154</v>
      </c>
      <c r="B1156" s="11">
        <f t="shared" si="74"/>
        <v>0</v>
      </c>
      <c r="C1156">
        <f ca="1">SUM($B$2:B1156)/A1156</f>
        <v>116.33544789655845</v>
      </c>
      <c r="E1156">
        <v>1154</v>
      </c>
      <c r="F1156" s="11">
        <f t="shared" si="75"/>
        <v>0</v>
      </c>
      <c r="G1156">
        <f ca="1">SUM($F$2:F1156)/E1156</f>
        <v>118.40297703342596</v>
      </c>
      <c r="I1156">
        <v>1154</v>
      </c>
      <c r="J1156">
        <f t="shared" si="76"/>
        <v>0</v>
      </c>
      <c r="K1156">
        <f ca="1">SUM($J$2:J1156)/I1156</f>
        <v>116.33544789655845</v>
      </c>
      <c r="M1156">
        <v>1154</v>
      </c>
      <c r="N1156">
        <f t="shared" si="77"/>
        <v>0</v>
      </c>
      <c r="O1156">
        <f ca="1">SUM($N$2:N1156)/M1156</f>
        <v>118.40297703342596</v>
      </c>
    </row>
    <row r="1157" spans="1:15" x14ac:dyDescent="0.2">
      <c r="A1157">
        <v>1155</v>
      </c>
      <c r="B1157" s="11">
        <f t="shared" si="74"/>
        <v>0</v>
      </c>
      <c r="C1157">
        <f ca="1">SUM($B$2:B1157)/A1157</f>
        <v>116.23472456504626</v>
      </c>
      <c r="E1157">
        <v>1155</v>
      </c>
      <c r="F1157" s="11">
        <f t="shared" si="75"/>
        <v>0</v>
      </c>
      <c r="G1157">
        <f ca="1">SUM($F$2:F1157)/E1157</f>
        <v>118.30046363339702</v>
      </c>
      <c r="I1157">
        <v>1155</v>
      </c>
      <c r="J1157">
        <f t="shared" si="76"/>
        <v>0</v>
      </c>
      <c r="K1157">
        <f ca="1">SUM($J$2:J1157)/I1157</f>
        <v>116.23472456504626</v>
      </c>
      <c r="M1157">
        <v>1155</v>
      </c>
      <c r="N1157">
        <f t="shared" si="77"/>
        <v>0</v>
      </c>
      <c r="O1157">
        <f ca="1">SUM($N$2:N1157)/M1157</f>
        <v>118.30046363339702</v>
      </c>
    </row>
    <row r="1158" spans="1:15" x14ac:dyDescent="0.2">
      <c r="A1158">
        <v>1156</v>
      </c>
      <c r="B1158" s="11">
        <f t="shared" si="74"/>
        <v>0</v>
      </c>
      <c r="C1158">
        <f ca="1">SUM($B$2:B1158)/A1158</f>
        <v>116.13417549535332</v>
      </c>
      <c r="E1158">
        <v>1156</v>
      </c>
      <c r="F1158" s="11">
        <f t="shared" si="75"/>
        <v>0</v>
      </c>
      <c r="G1158">
        <f ca="1">SUM($F$2:F1158)/E1158</f>
        <v>118.19812759219165</v>
      </c>
      <c r="I1158">
        <v>1156</v>
      </c>
      <c r="J1158">
        <f t="shared" si="76"/>
        <v>0</v>
      </c>
      <c r="K1158">
        <f ca="1">SUM($J$2:J1158)/I1158</f>
        <v>116.13417549535332</v>
      </c>
      <c r="M1158">
        <v>1156</v>
      </c>
      <c r="N1158">
        <f t="shared" si="77"/>
        <v>0</v>
      </c>
      <c r="O1158">
        <f ca="1">SUM($N$2:N1158)/M1158</f>
        <v>118.19812759219165</v>
      </c>
    </row>
    <row r="1159" spans="1:15" x14ac:dyDescent="0.2">
      <c r="A1159">
        <v>1157</v>
      </c>
      <c r="B1159" s="11">
        <f t="shared" si="74"/>
        <v>0</v>
      </c>
      <c r="C1159">
        <f ca="1">SUM($B$2:B1159)/A1159</f>
        <v>116.03380023563392</v>
      </c>
      <c r="E1159">
        <v>1157</v>
      </c>
      <c r="F1159" s="11">
        <f t="shared" si="75"/>
        <v>0</v>
      </c>
      <c r="G1159">
        <f ca="1">SUM($F$2:F1159)/E1159</f>
        <v>118.09596844993392</v>
      </c>
      <c r="I1159">
        <v>1157</v>
      </c>
      <c r="J1159">
        <f t="shared" si="76"/>
        <v>0</v>
      </c>
      <c r="K1159">
        <f ca="1">SUM($J$2:J1159)/I1159</f>
        <v>116.03380023563392</v>
      </c>
      <c r="M1159">
        <v>1157</v>
      </c>
      <c r="N1159">
        <f t="shared" si="77"/>
        <v>0</v>
      </c>
      <c r="O1159">
        <f ca="1">SUM($N$2:N1159)/M1159</f>
        <v>118.09596844993392</v>
      </c>
    </row>
    <row r="1160" spans="1:15" x14ac:dyDescent="0.2">
      <c r="A1160">
        <v>1158</v>
      </c>
      <c r="B1160" s="11">
        <f t="shared" si="74"/>
        <v>0</v>
      </c>
      <c r="C1160">
        <f ca="1">SUM($B$2:B1160)/A1160</f>
        <v>115.93359833560315</v>
      </c>
      <c r="E1160">
        <v>1158</v>
      </c>
      <c r="F1160" s="11">
        <f t="shared" si="75"/>
        <v>0</v>
      </c>
      <c r="G1160">
        <f ca="1">SUM($F$2:F1160)/E1160</f>
        <v>117.9939857483364</v>
      </c>
      <c r="I1160">
        <v>1158</v>
      </c>
      <c r="J1160">
        <f t="shared" si="76"/>
        <v>0</v>
      </c>
      <c r="K1160">
        <f ca="1">SUM($J$2:J1160)/I1160</f>
        <v>115.93359833560315</v>
      </c>
      <c r="M1160">
        <v>1158</v>
      </c>
      <c r="N1160">
        <f t="shared" si="77"/>
        <v>0</v>
      </c>
      <c r="O1160">
        <f ca="1">SUM($N$2:N1160)/M1160</f>
        <v>117.9939857483364</v>
      </c>
    </row>
    <row r="1161" spans="1:15" x14ac:dyDescent="0.2">
      <c r="A1161">
        <v>1159</v>
      </c>
      <c r="B1161" s="11">
        <f t="shared" si="74"/>
        <v>0</v>
      </c>
      <c r="C1161">
        <f ca="1">SUM($B$2:B1161)/A1161</f>
        <v>115.83356934653015</v>
      </c>
      <c r="E1161">
        <v>1159</v>
      </c>
      <c r="F1161" s="11">
        <f t="shared" si="75"/>
        <v>0</v>
      </c>
      <c r="G1161">
        <f ca="1">SUM($F$2:F1161)/E1161</f>
        <v>117.89217903069331</v>
      </c>
      <c r="I1161">
        <v>1159</v>
      </c>
      <c r="J1161">
        <f t="shared" si="76"/>
        <v>0</v>
      </c>
      <c r="K1161">
        <f ca="1">SUM($J$2:J1161)/I1161</f>
        <v>115.83356934653015</v>
      </c>
      <c r="M1161">
        <v>1159</v>
      </c>
      <c r="N1161">
        <f t="shared" si="77"/>
        <v>0</v>
      </c>
      <c r="O1161">
        <f ca="1">SUM($N$2:N1161)/M1161</f>
        <v>117.89217903069331</v>
      </c>
    </row>
    <row r="1162" spans="1:15" x14ac:dyDescent="0.2">
      <c r="A1162">
        <v>1160</v>
      </c>
      <c r="B1162" s="11">
        <f t="shared" si="74"/>
        <v>0</v>
      </c>
      <c r="C1162">
        <f ca="1">SUM($B$2:B1162)/A1162</f>
        <v>115.73371282123142</v>
      </c>
      <c r="E1162">
        <v>1160</v>
      </c>
      <c r="F1162" s="11">
        <f t="shared" si="75"/>
        <v>0</v>
      </c>
      <c r="G1162">
        <f ca="1">SUM($F$2:F1162)/E1162</f>
        <v>117.79054784187375</v>
      </c>
      <c r="I1162">
        <v>1160</v>
      </c>
      <c r="J1162">
        <f t="shared" si="76"/>
        <v>0</v>
      </c>
      <c r="K1162">
        <f ca="1">SUM($J$2:J1162)/I1162</f>
        <v>115.73371282123142</v>
      </c>
      <c r="M1162">
        <v>1160</v>
      </c>
      <c r="N1162">
        <f t="shared" si="77"/>
        <v>0</v>
      </c>
      <c r="O1162">
        <f ca="1">SUM($N$2:N1162)/M1162</f>
        <v>117.79054784187375</v>
      </c>
    </row>
    <row r="1163" spans="1:15" x14ac:dyDescent="0.2">
      <c r="A1163">
        <v>1161</v>
      </c>
      <c r="B1163" s="11">
        <f t="shared" si="74"/>
        <v>0</v>
      </c>
      <c r="C1163">
        <f ca="1">SUM($B$2:B1163)/A1163</f>
        <v>115.63402831406412</v>
      </c>
      <c r="E1163">
        <v>1161</v>
      </c>
      <c r="F1163" s="11">
        <f t="shared" si="75"/>
        <v>0</v>
      </c>
      <c r="G1163">
        <f ca="1">SUM($F$2:F1163)/E1163</f>
        <v>117.68909172831485</v>
      </c>
      <c r="I1163">
        <v>1161</v>
      </c>
      <c r="J1163">
        <f t="shared" si="76"/>
        <v>0</v>
      </c>
      <c r="K1163">
        <f ca="1">SUM($J$2:J1163)/I1163</f>
        <v>115.63402831406412</v>
      </c>
      <c r="M1163">
        <v>1161</v>
      </c>
      <c r="N1163">
        <f t="shared" si="77"/>
        <v>0</v>
      </c>
      <c r="O1163">
        <f ca="1">SUM($N$2:N1163)/M1163</f>
        <v>117.68909172831485</v>
      </c>
    </row>
    <row r="1164" spans="1:15" x14ac:dyDescent="0.2">
      <c r="A1164">
        <v>1162</v>
      </c>
      <c r="B1164" s="11">
        <f t="shared" si="74"/>
        <v>0</v>
      </c>
      <c r="C1164">
        <f ca="1">SUM($B$2:B1164)/A1164</f>
        <v>115.53451538091949</v>
      </c>
      <c r="E1164">
        <v>1162</v>
      </c>
      <c r="F1164" s="11">
        <f t="shared" si="75"/>
        <v>0</v>
      </c>
      <c r="G1164">
        <f ca="1">SUM($F$2:F1164)/E1164</f>
        <v>117.58781023801509</v>
      </c>
      <c r="I1164">
        <v>1162</v>
      </c>
      <c r="J1164">
        <f t="shared" si="76"/>
        <v>0</v>
      </c>
      <c r="K1164">
        <f ca="1">SUM($J$2:J1164)/I1164</f>
        <v>115.53451538091949</v>
      </c>
      <c r="M1164">
        <v>1162</v>
      </c>
      <c r="N1164">
        <f t="shared" si="77"/>
        <v>0</v>
      </c>
      <c r="O1164">
        <f ca="1">SUM($N$2:N1164)/M1164</f>
        <v>117.58781023801509</v>
      </c>
    </row>
    <row r="1165" spans="1:15" x14ac:dyDescent="0.2">
      <c r="A1165">
        <v>1163</v>
      </c>
      <c r="B1165" s="11">
        <f t="shared" si="74"/>
        <v>0</v>
      </c>
      <c r="C1165">
        <f ca="1">SUM($B$2:B1165)/A1165</f>
        <v>115.4351735792162</v>
      </c>
      <c r="E1165">
        <v>1163</v>
      </c>
      <c r="F1165" s="11">
        <f t="shared" si="75"/>
        <v>0</v>
      </c>
      <c r="G1165">
        <f ca="1">SUM($F$2:F1165)/E1165</f>
        <v>117.48670292052755</v>
      </c>
      <c r="I1165">
        <v>1163</v>
      </c>
      <c r="J1165">
        <f t="shared" si="76"/>
        <v>0</v>
      </c>
      <c r="K1165">
        <f ca="1">SUM($J$2:J1165)/I1165</f>
        <v>115.4351735792162</v>
      </c>
      <c r="M1165">
        <v>1163</v>
      </c>
      <c r="N1165">
        <f t="shared" si="77"/>
        <v>0</v>
      </c>
      <c r="O1165">
        <f ca="1">SUM($N$2:N1165)/M1165</f>
        <v>117.48670292052755</v>
      </c>
    </row>
    <row r="1166" spans="1:15" x14ac:dyDescent="0.2">
      <c r="A1166">
        <v>1164</v>
      </c>
      <c r="B1166" s="11">
        <f t="shared" si="74"/>
        <v>0</v>
      </c>
      <c r="C1166">
        <f ca="1">SUM($B$2:B1166)/A1166</f>
        <v>115.33600246789385</v>
      </c>
      <c r="E1166">
        <v>1164</v>
      </c>
      <c r="F1166" s="11">
        <f t="shared" si="75"/>
        <v>0</v>
      </c>
      <c r="G1166">
        <f ca="1">SUM($F$2:F1166)/E1166</f>
        <v>117.38576932695322</v>
      </c>
      <c r="I1166">
        <v>1164</v>
      </c>
      <c r="J1166">
        <f t="shared" si="76"/>
        <v>0</v>
      </c>
      <c r="K1166">
        <f ca="1">SUM($J$2:J1166)/I1166</f>
        <v>115.33600246789385</v>
      </c>
      <c r="M1166">
        <v>1164</v>
      </c>
      <c r="N1166">
        <f t="shared" si="77"/>
        <v>0</v>
      </c>
      <c r="O1166">
        <f ca="1">SUM($N$2:N1166)/M1166</f>
        <v>117.38576932695322</v>
      </c>
    </row>
    <row r="1167" spans="1:15" x14ac:dyDescent="0.2">
      <c r="A1167">
        <v>1165</v>
      </c>
      <c r="B1167" s="11">
        <f t="shared" si="74"/>
        <v>0</v>
      </c>
      <c r="C1167">
        <f ca="1">SUM($B$2:B1167)/A1167</f>
        <v>115.23700160740638</v>
      </c>
      <c r="E1167">
        <v>1165</v>
      </c>
      <c r="F1167" s="11">
        <f t="shared" si="75"/>
        <v>0</v>
      </c>
      <c r="G1167">
        <f ca="1">SUM($F$2:F1167)/E1167</f>
        <v>117.28500900993437</v>
      </c>
      <c r="I1167">
        <v>1165</v>
      </c>
      <c r="J1167">
        <f t="shared" si="76"/>
        <v>0</v>
      </c>
      <c r="K1167">
        <f ca="1">SUM($J$2:J1167)/I1167</f>
        <v>115.23700160740638</v>
      </c>
      <c r="M1167">
        <v>1165</v>
      </c>
      <c r="N1167">
        <f t="shared" si="77"/>
        <v>0</v>
      </c>
      <c r="O1167">
        <f ca="1">SUM($N$2:N1167)/M1167</f>
        <v>117.28500900993437</v>
      </c>
    </row>
    <row r="1168" spans="1:15" x14ac:dyDescent="0.2">
      <c r="A1168">
        <v>1166</v>
      </c>
      <c r="B1168" s="11">
        <f t="shared" si="74"/>
        <v>0</v>
      </c>
      <c r="C1168">
        <f ca="1">SUM($B$2:B1168)/A1168</f>
        <v>115.13817055971565</v>
      </c>
      <c r="E1168">
        <v>1166</v>
      </c>
      <c r="F1168" s="11">
        <f t="shared" si="75"/>
        <v>0</v>
      </c>
      <c r="G1168">
        <f ca="1">SUM($F$2:F1168)/E1168</f>
        <v>117.18442152364798</v>
      </c>
      <c r="I1168">
        <v>1166</v>
      </c>
      <c r="J1168">
        <f t="shared" si="76"/>
        <v>0</v>
      </c>
      <c r="K1168">
        <f ca="1">SUM($J$2:J1168)/I1168</f>
        <v>115.13817055971565</v>
      </c>
      <c r="M1168">
        <v>1166</v>
      </c>
      <c r="N1168">
        <f t="shared" si="77"/>
        <v>0</v>
      </c>
      <c r="O1168">
        <f ca="1">SUM($N$2:N1168)/M1168</f>
        <v>117.18442152364798</v>
      </c>
    </row>
    <row r="1169" spans="1:15" x14ac:dyDescent="0.2">
      <c r="A1169">
        <v>1167</v>
      </c>
      <c r="B1169" s="11">
        <f t="shared" si="74"/>
        <v>0</v>
      </c>
      <c r="C1169">
        <f ca="1">SUM($B$2:B1169)/A1169</f>
        <v>115.03950888828487</v>
      </c>
      <c r="E1169">
        <v>1167</v>
      </c>
      <c r="F1169" s="11">
        <f t="shared" si="75"/>
        <v>0</v>
      </c>
      <c r="G1169">
        <f ca="1">SUM($F$2:F1169)/E1169</f>
        <v>117.0840064237991</v>
      </c>
      <c r="I1169">
        <v>1167</v>
      </c>
      <c r="J1169">
        <f t="shared" si="76"/>
        <v>0</v>
      </c>
      <c r="K1169">
        <f ca="1">SUM($J$2:J1169)/I1169</f>
        <v>115.03950888828487</v>
      </c>
      <c r="M1169">
        <v>1167</v>
      </c>
      <c r="N1169">
        <f t="shared" si="77"/>
        <v>0</v>
      </c>
      <c r="O1169">
        <f ca="1">SUM($N$2:N1169)/M1169</f>
        <v>117.0840064237991</v>
      </c>
    </row>
    <row r="1170" spans="1:15" x14ac:dyDescent="0.2">
      <c r="A1170">
        <v>1168</v>
      </c>
      <c r="B1170" s="11">
        <f t="shared" si="74"/>
        <v>0</v>
      </c>
      <c r="C1170">
        <f ca="1">SUM($B$2:B1170)/A1170</f>
        <v>114.9410161580723</v>
      </c>
      <c r="E1170">
        <v>1168</v>
      </c>
      <c r="F1170" s="11">
        <f t="shared" si="75"/>
        <v>0</v>
      </c>
      <c r="G1170">
        <f ca="1">SUM($F$2:F1170)/E1170</f>
        <v>116.98376326761434</v>
      </c>
      <c r="I1170">
        <v>1168</v>
      </c>
      <c r="J1170">
        <f t="shared" si="76"/>
        <v>0</v>
      </c>
      <c r="K1170">
        <f ca="1">SUM($J$2:J1170)/I1170</f>
        <v>114.9410161580723</v>
      </c>
      <c r="M1170">
        <v>1168</v>
      </c>
      <c r="N1170">
        <f t="shared" si="77"/>
        <v>0</v>
      </c>
      <c r="O1170">
        <f ca="1">SUM($N$2:N1170)/M1170</f>
        <v>116.98376326761434</v>
      </c>
    </row>
    <row r="1171" spans="1:15" x14ac:dyDescent="0.2">
      <c r="A1171">
        <v>1169</v>
      </c>
      <c r="B1171" s="11">
        <f t="shared" si="74"/>
        <v>0</v>
      </c>
      <c r="C1171">
        <f ca="1">SUM($B$2:B1171)/A1171</f>
        <v>114.84269193552475</v>
      </c>
      <c r="E1171">
        <v>1169</v>
      </c>
      <c r="F1171" s="11">
        <f t="shared" si="75"/>
        <v>0</v>
      </c>
      <c r="G1171">
        <f ca="1">SUM($F$2:F1171)/E1171</f>
        <v>116.88369161383537</v>
      </c>
      <c r="I1171">
        <v>1169</v>
      </c>
      <c r="J1171">
        <f t="shared" si="76"/>
        <v>0</v>
      </c>
      <c r="K1171">
        <f ca="1">SUM($J$2:J1171)/I1171</f>
        <v>114.84269193552475</v>
      </c>
      <c r="M1171">
        <v>1169</v>
      </c>
      <c r="N1171">
        <f t="shared" si="77"/>
        <v>0</v>
      </c>
      <c r="O1171">
        <f ca="1">SUM($N$2:N1171)/M1171</f>
        <v>116.88369161383537</v>
      </c>
    </row>
    <row r="1172" spans="1:15" x14ac:dyDescent="0.2">
      <c r="A1172">
        <v>1170</v>
      </c>
      <c r="B1172" s="11">
        <f t="shared" si="74"/>
        <v>0</v>
      </c>
      <c r="C1172">
        <f ca="1">SUM($B$2:B1172)/A1172</f>
        <v>114.74453578857131</v>
      </c>
      <c r="E1172">
        <v>1170</v>
      </c>
      <c r="F1172" s="11">
        <f t="shared" si="75"/>
        <v>0</v>
      </c>
      <c r="G1172">
        <f ca="1">SUM($F$2:F1172)/E1172</f>
        <v>116.78379102271244</v>
      </c>
      <c r="I1172">
        <v>1170</v>
      </c>
      <c r="J1172">
        <f t="shared" si="76"/>
        <v>0</v>
      </c>
      <c r="K1172">
        <f ca="1">SUM($J$2:J1172)/I1172</f>
        <v>114.74453578857131</v>
      </c>
      <c r="M1172">
        <v>1170</v>
      </c>
      <c r="N1172">
        <f t="shared" si="77"/>
        <v>0</v>
      </c>
      <c r="O1172">
        <f ca="1">SUM($N$2:N1172)/M1172</f>
        <v>116.78379102271244</v>
      </c>
    </row>
    <row r="1173" spans="1:15" x14ac:dyDescent="0.2">
      <c r="A1173">
        <v>1171</v>
      </c>
      <c r="B1173" s="11">
        <f t="shared" si="74"/>
        <v>0</v>
      </c>
      <c r="C1173">
        <f ca="1">SUM($B$2:B1173)/A1173</f>
        <v>114.64654728661695</v>
      </c>
      <c r="E1173">
        <v>1171</v>
      </c>
      <c r="F1173" s="11">
        <f t="shared" si="75"/>
        <v>0</v>
      </c>
      <c r="G1173">
        <f ca="1">SUM($F$2:F1173)/E1173</f>
        <v>116.6840610559979</v>
      </c>
      <c r="I1173">
        <v>1171</v>
      </c>
      <c r="J1173">
        <f t="shared" si="76"/>
        <v>0</v>
      </c>
      <c r="K1173">
        <f ca="1">SUM($J$2:J1173)/I1173</f>
        <v>114.64654728661695</v>
      </c>
      <c r="M1173">
        <v>1171</v>
      </c>
      <c r="N1173">
        <f t="shared" si="77"/>
        <v>0</v>
      </c>
      <c r="O1173">
        <f ca="1">SUM($N$2:N1173)/M1173</f>
        <v>116.6840610559979</v>
      </c>
    </row>
    <row r="1174" spans="1:15" x14ac:dyDescent="0.2">
      <c r="A1174">
        <v>1172</v>
      </c>
      <c r="B1174" s="11">
        <f t="shared" si="74"/>
        <v>0</v>
      </c>
      <c r="C1174">
        <f ca="1">SUM($B$2:B1174)/A1174</f>
        <v>114.54872600053622</v>
      </c>
      <c r="E1174">
        <v>1172</v>
      </c>
      <c r="F1174" s="11">
        <f t="shared" si="75"/>
        <v>0</v>
      </c>
      <c r="G1174">
        <f ca="1">SUM($F$2:F1174)/E1174</f>
        <v>116.58450127693989</v>
      </c>
      <c r="I1174">
        <v>1172</v>
      </c>
      <c r="J1174">
        <f t="shared" si="76"/>
        <v>0</v>
      </c>
      <c r="K1174">
        <f ca="1">SUM($J$2:J1174)/I1174</f>
        <v>114.54872600053622</v>
      </c>
      <c r="M1174">
        <v>1172</v>
      </c>
      <c r="N1174">
        <f t="shared" si="77"/>
        <v>0</v>
      </c>
      <c r="O1174">
        <f ca="1">SUM($N$2:N1174)/M1174</f>
        <v>116.58450127693989</v>
      </c>
    </row>
    <row r="1175" spans="1:15" x14ac:dyDescent="0.2">
      <c r="A1175">
        <v>1173</v>
      </c>
      <c r="B1175" s="11">
        <f t="shared" si="74"/>
        <v>0</v>
      </c>
      <c r="C1175">
        <f ca="1">SUM($B$2:B1175)/A1175</f>
        <v>114.45107150266705</v>
      </c>
      <c r="E1175">
        <v>1173</v>
      </c>
      <c r="F1175" s="11">
        <f t="shared" si="75"/>
        <v>0</v>
      </c>
      <c r="G1175">
        <f ca="1">SUM($F$2:F1175)/E1175</f>
        <v>116.48511125027582</v>
      </c>
      <c r="I1175">
        <v>1173</v>
      </c>
      <c r="J1175">
        <f t="shared" si="76"/>
        <v>0</v>
      </c>
      <c r="K1175">
        <f ca="1">SUM($J$2:J1175)/I1175</f>
        <v>114.45107150266705</v>
      </c>
      <c r="M1175">
        <v>1173</v>
      </c>
      <c r="N1175">
        <f t="shared" si="77"/>
        <v>0</v>
      </c>
      <c r="O1175">
        <f ca="1">SUM($N$2:N1175)/M1175</f>
        <v>116.48511125027582</v>
      </c>
    </row>
    <row r="1176" spans="1:15" x14ac:dyDescent="0.2">
      <c r="A1176">
        <v>1174</v>
      </c>
      <c r="B1176" s="11">
        <f t="shared" si="74"/>
        <v>0</v>
      </c>
      <c r="C1176">
        <f ca="1">SUM($B$2:B1176)/A1176</f>
        <v>114.35358336680447</v>
      </c>
      <c r="E1176">
        <v>1174</v>
      </c>
      <c r="F1176" s="11">
        <f t="shared" si="75"/>
        <v>0</v>
      </c>
      <c r="G1176">
        <f ca="1">SUM($F$2:F1176)/E1176</f>
        <v>116.38589054222619</v>
      </c>
      <c r="I1176">
        <v>1174</v>
      </c>
      <c r="J1176">
        <f t="shared" si="76"/>
        <v>0</v>
      </c>
      <c r="K1176">
        <f ca="1">SUM($J$2:J1176)/I1176</f>
        <v>114.35358336680447</v>
      </c>
      <c r="M1176">
        <v>1174</v>
      </c>
      <c r="N1176">
        <f t="shared" si="77"/>
        <v>0</v>
      </c>
      <c r="O1176">
        <f ca="1">SUM($N$2:N1176)/M1176</f>
        <v>116.38589054222619</v>
      </c>
    </row>
    <row r="1177" spans="1:15" x14ac:dyDescent="0.2">
      <c r="A1177">
        <v>1175</v>
      </c>
      <c r="B1177" s="11">
        <f t="shared" si="74"/>
        <v>0</v>
      </c>
      <c r="C1177">
        <f ca="1">SUM($B$2:B1177)/A1177</f>
        <v>114.25626116819441</v>
      </c>
      <c r="E1177">
        <v>1175</v>
      </c>
      <c r="F1177" s="11">
        <f t="shared" si="75"/>
        <v>0</v>
      </c>
      <c r="G1177">
        <f ca="1">SUM($F$2:F1177)/E1177</f>
        <v>116.28683872048812</v>
      </c>
      <c r="I1177">
        <v>1175</v>
      </c>
      <c r="J1177">
        <f t="shared" si="76"/>
        <v>0</v>
      </c>
      <c r="K1177">
        <f ca="1">SUM($J$2:J1177)/I1177</f>
        <v>114.25626116819441</v>
      </c>
      <c r="M1177">
        <v>1175</v>
      </c>
      <c r="N1177">
        <f t="shared" si="77"/>
        <v>0</v>
      </c>
      <c r="O1177">
        <f ca="1">SUM($N$2:N1177)/M1177</f>
        <v>116.28683872048812</v>
      </c>
    </row>
    <row r="1178" spans="1:15" x14ac:dyDescent="0.2">
      <c r="A1178">
        <v>1176</v>
      </c>
      <c r="B1178" s="11">
        <f t="shared" si="74"/>
        <v>0</v>
      </c>
      <c r="C1178">
        <f ca="1">SUM($B$2:B1178)/A1178</f>
        <v>114.15910448352759</v>
      </c>
      <c r="E1178">
        <v>1176</v>
      </c>
      <c r="F1178" s="11">
        <f t="shared" si="75"/>
        <v>0</v>
      </c>
      <c r="G1178">
        <f ca="1">SUM($F$2:F1178)/E1178</f>
        <v>116.1879553542292</v>
      </c>
      <c r="I1178">
        <v>1176</v>
      </c>
      <c r="J1178">
        <f t="shared" si="76"/>
        <v>0</v>
      </c>
      <c r="K1178">
        <f ca="1">SUM($J$2:J1178)/I1178</f>
        <v>114.15910448352759</v>
      </c>
      <c r="M1178">
        <v>1176</v>
      </c>
      <c r="N1178">
        <f t="shared" si="77"/>
        <v>0</v>
      </c>
      <c r="O1178">
        <f ca="1">SUM($N$2:N1178)/M1178</f>
        <v>116.1879553542292</v>
      </c>
    </row>
    <row r="1179" spans="1:15" x14ac:dyDescent="0.2">
      <c r="A1179">
        <v>1177</v>
      </c>
      <c r="B1179" s="11">
        <f t="shared" si="74"/>
        <v>0</v>
      </c>
      <c r="C1179">
        <f ca="1">SUM($B$2:B1179)/A1179</f>
        <v>114.06211289093325</v>
      </c>
      <c r="E1179">
        <v>1177</v>
      </c>
      <c r="F1179" s="11">
        <f t="shared" si="75"/>
        <v>0</v>
      </c>
      <c r="G1179">
        <f ca="1">SUM($F$2:F1179)/E1179</f>
        <v>116.08924001408118</v>
      </c>
      <c r="I1179">
        <v>1177</v>
      </c>
      <c r="J1179">
        <f t="shared" si="76"/>
        <v>0</v>
      </c>
      <c r="K1179">
        <f ca="1">SUM($J$2:J1179)/I1179</f>
        <v>114.06211289093325</v>
      </c>
      <c r="M1179">
        <v>1177</v>
      </c>
      <c r="N1179">
        <f t="shared" si="77"/>
        <v>0</v>
      </c>
      <c r="O1179">
        <f ca="1">SUM($N$2:N1179)/M1179</f>
        <v>116.08924001408118</v>
      </c>
    </row>
    <row r="1180" spans="1:15" x14ac:dyDescent="0.2">
      <c r="A1180">
        <v>1178</v>
      </c>
      <c r="B1180" s="11">
        <f t="shared" si="74"/>
        <v>0</v>
      </c>
      <c r="C1180">
        <f ca="1">SUM($B$2:B1180)/A1180</f>
        <v>113.96528596997321</v>
      </c>
      <c r="E1180">
        <v>1178</v>
      </c>
      <c r="F1180" s="11">
        <f t="shared" si="75"/>
        <v>0</v>
      </c>
      <c r="G1180">
        <f ca="1">SUM($F$2:F1180)/E1180</f>
        <v>115.99069227213374</v>
      </c>
      <c r="I1180">
        <v>1178</v>
      </c>
      <c r="J1180">
        <f t="shared" si="76"/>
        <v>0</v>
      </c>
      <c r="K1180">
        <f ca="1">SUM($J$2:J1180)/I1180</f>
        <v>113.96528596997321</v>
      </c>
      <c r="M1180">
        <v>1178</v>
      </c>
      <c r="N1180">
        <f t="shared" si="77"/>
        <v>0</v>
      </c>
      <c r="O1180">
        <f ca="1">SUM($N$2:N1180)/M1180</f>
        <v>115.99069227213374</v>
      </c>
    </row>
    <row r="1181" spans="1:15" x14ac:dyDescent="0.2">
      <c r="A1181">
        <v>1179</v>
      </c>
      <c r="B1181" s="11">
        <f t="shared" si="74"/>
        <v>0</v>
      </c>
      <c r="C1181">
        <f ca="1">SUM($B$2:B1181)/A1181</f>
        <v>113.86862330163567</v>
      </c>
      <c r="E1181">
        <v>1179</v>
      </c>
      <c r="F1181" s="11">
        <f t="shared" si="75"/>
        <v>0</v>
      </c>
      <c r="G1181">
        <f ca="1">SUM($F$2:F1181)/E1181</f>
        <v>115.89231170192836</v>
      </c>
      <c r="I1181">
        <v>1179</v>
      </c>
      <c r="J1181">
        <f t="shared" si="76"/>
        <v>0</v>
      </c>
      <c r="K1181">
        <f ca="1">SUM($J$2:J1181)/I1181</f>
        <v>113.86862330163567</v>
      </c>
      <c r="M1181">
        <v>1179</v>
      </c>
      <c r="N1181">
        <f t="shared" si="77"/>
        <v>0</v>
      </c>
      <c r="O1181">
        <f ca="1">SUM($N$2:N1181)/M1181</f>
        <v>115.89231170192836</v>
      </c>
    </row>
    <row r="1182" spans="1:15" x14ac:dyDescent="0.2">
      <c r="A1182">
        <v>1180</v>
      </c>
      <c r="B1182" s="11">
        <f t="shared" si="74"/>
        <v>0</v>
      </c>
      <c r="C1182">
        <f ca="1">SUM($B$2:B1182)/A1182</f>
        <v>113.7721244683292</v>
      </c>
      <c r="E1182">
        <v>1180</v>
      </c>
      <c r="F1182" s="11">
        <f t="shared" si="75"/>
        <v>0</v>
      </c>
      <c r="G1182">
        <f ca="1">SUM($F$2:F1182)/E1182</f>
        <v>115.79409787845216</v>
      </c>
      <c r="I1182">
        <v>1180</v>
      </c>
      <c r="J1182">
        <f t="shared" si="76"/>
        <v>0</v>
      </c>
      <c r="K1182">
        <f ca="1">SUM($J$2:J1182)/I1182</f>
        <v>113.7721244683292</v>
      </c>
      <c r="M1182">
        <v>1180</v>
      </c>
      <c r="N1182">
        <f t="shared" si="77"/>
        <v>0</v>
      </c>
      <c r="O1182">
        <f ca="1">SUM($N$2:N1182)/M1182</f>
        <v>115.79409787845216</v>
      </c>
    </row>
    <row r="1183" spans="1:15" x14ac:dyDescent="0.2">
      <c r="A1183">
        <v>1181</v>
      </c>
      <c r="B1183" s="11">
        <f t="shared" si="74"/>
        <v>0</v>
      </c>
      <c r="C1183">
        <f ca="1">SUM($B$2:B1183)/A1183</f>
        <v>113.67578905387676</v>
      </c>
      <c r="E1183">
        <v>1181</v>
      </c>
      <c r="F1183" s="11">
        <f t="shared" si="75"/>
        <v>0</v>
      </c>
      <c r="G1183">
        <f ca="1">SUM($F$2:F1183)/E1183</f>
        <v>115.6960503781317</v>
      </c>
      <c r="I1183">
        <v>1181</v>
      </c>
      <c r="J1183">
        <f t="shared" si="76"/>
        <v>0</v>
      </c>
      <c r="K1183">
        <f ca="1">SUM($J$2:J1183)/I1183</f>
        <v>113.67578905387676</v>
      </c>
      <c r="M1183">
        <v>1181</v>
      </c>
      <c r="N1183">
        <f t="shared" si="77"/>
        <v>0</v>
      </c>
      <c r="O1183">
        <f ca="1">SUM($N$2:N1183)/M1183</f>
        <v>115.6960503781317</v>
      </c>
    </row>
    <row r="1184" spans="1:15" x14ac:dyDescent="0.2">
      <c r="A1184">
        <v>1182</v>
      </c>
      <c r="B1184" s="11">
        <f t="shared" si="74"/>
        <v>0</v>
      </c>
      <c r="C1184">
        <f ca="1">SUM($B$2:B1184)/A1184</f>
        <v>113.57961664350968</v>
      </c>
      <c r="E1184">
        <v>1182</v>
      </c>
      <c r="F1184" s="11">
        <f t="shared" si="75"/>
        <v>0</v>
      </c>
      <c r="G1184">
        <f ca="1">SUM($F$2:F1184)/E1184</f>
        <v>115.59816877882703</v>
      </c>
      <c r="I1184">
        <v>1182</v>
      </c>
      <c r="J1184">
        <f t="shared" si="76"/>
        <v>0</v>
      </c>
      <c r="K1184">
        <f ca="1">SUM($J$2:J1184)/I1184</f>
        <v>113.57961664350968</v>
      </c>
      <c r="M1184">
        <v>1182</v>
      </c>
      <c r="N1184">
        <f t="shared" si="77"/>
        <v>0</v>
      </c>
      <c r="O1184">
        <f ca="1">SUM($N$2:N1184)/M1184</f>
        <v>115.59816877882703</v>
      </c>
    </row>
    <row r="1185" spans="1:15" x14ac:dyDescent="0.2">
      <c r="A1185">
        <v>1183</v>
      </c>
      <c r="B1185" s="11">
        <f t="shared" si="74"/>
        <v>0</v>
      </c>
      <c r="C1185">
        <f ca="1">SUM($B$2:B1185)/A1185</f>
        <v>113.48360682386175</v>
      </c>
      <c r="E1185">
        <v>1183</v>
      </c>
      <c r="F1185" s="11">
        <f t="shared" si="75"/>
        <v>0</v>
      </c>
      <c r="G1185">
        <f ca="1">SUM($F$2:F1185)/E1185</f>
        <v>115.50045265982548</v>
      </c>
      <c r="I1185">
        <v>1183</v>
      </c>
      <c r="J1185">
        <f t="shared" si="76"/>
        <v>0</v>
      </c>
      <c r="K1185">
        <f ca="1">SUM($J$2:J1185)/I1185</f>
        <v>113.48360682386175</v>
      </c>
      <c r="M1185">
        <v>1183</v>
      </c>
      <c r="N1185">
        <f t="shared" si="77"/>
        <v>0</v>
      </c>
      <c r="O1185">
        <f ca="1">SUM($N$2:N1185)/M1185</f>
        <v>115.50045265982548</v>
      </c>
    </row>
    <row r="1186" spans="1:15" x14ac:dyDescent="0.2">
      <c r="A1186">
        <v>1184</v>
      </c>
      <c r="B1186" s="11">
        <f t="shared" si="74"/>
        <v>0</v>
      </c>
      <c r="C1186">
        <f ca="1">SUM($B$2:B1186)/A1186</f>
        <v>113.38775918296321</v>
      </c>
      <c r="E1186">
        <v>1184</v>
      </c>
      <c r="F1186" s="11">
        <f t="shared" si="75"/>
        <v>0</v>
      </c>
      <c r="G1186">
        <f ca="1">SUM($F$2:F1186)/E1186</f>
        <v>115.40290160183577</v>
      </c>
      <c r="I1186">
        <v>1184</v>
      </c>
      <c r="J1186">
        <f t="shared" si="76"/>
        <v>0</v>
      </c>
      <c r="K1186">
        <f ca="1">SUM($J$2:J1186)/I1186</f>
        <v>113.38775918296321</v>
      </c>
      <c r="M1186">
        <v>1184</v>
      </c>
      <c r="N1186">
        <f t="shared" si="77"/>
        <v>0</v>
      </c>
      <c r="O1186">
        <f ca="1">SUM($N$2:N1186)/M1186</f>
        <v>115.40290160183577</v>
      </c>
    </row>
    <row r="1187" spans="1:15" x14ac:dyDescent="0.2">
      <c r="A1187">
        <v>1185</v>
      </c>
      <c r="B1187" s="11">
        <f t="shared" si="74"/>
        <v>0</v>
      </c>
      <c r="C1187">
        <f ca="1">SUM($B$2:B1187)/A1187</f>
        <v>113.29207331023497</v>
      </c>
      <c r="E1187">
        <v>1185</v>
      </c>
      <c r="F1187" s="11">
        <f t="shared" si="75"/>
        <v>0</v>
      </c>
      <c r="G1187">
        <f ca="1">SUM($F$2:F1187)/E1187</f>
        <v>115.30551518698189</v>
      </c>
      <c r="I1187">
        <v>1185</v>
      </c>
      <c r="J1187">
        <f t="shared" si="76"/>
        <v>0</v>
      </c>
      <c r="K1187">
        <f ca="1">SUM($J$2:J1187)/I1187</f>
        <v>113.29207331023497</v>
      </c>
      <c r="M1187">
        <v>1185</v>
      </c>
      <c r="N1187">
        <f t="shared" si="77"/>
        <v>0</v>
      </c>
      <c r="O1187">
        <f ca="1">SUM($N$2:N1187)/M1187</f>
        <v>115.30551518698189</v>
      </c>
    </row>
    <row r="1188" spans="1:15" x14ac:dyDescent="0.2">
      <c r="A1188">
        <v>1186</v>
      </c>
      <c r="B1188" s="11">
        <f t="shared" si="74"/>
        <v>0</v>
      </c>
      <c r="C1188">
        <f ca="1">SUM($B$2:B1188)/A1188</f>
        <v>113.19654879648267</v>
      </c>
      <c r="E1188">
        <v>1186</v>
      </c>
      <c r="F1188" s="11">
        <f t="shared" si="75"/>
        <v>0</v>
      </c>
      <c r="G1188">
        <f ca="1">SUM($F$2:F1188)/E1188</f>
        <v>115.20829299879726</v>
      </c>
      <c r="I1188">
        <v>1186</v>
      </c>
      <c r="J1188">
        <f t="shared" si="76"/>
        <v>0</v>
      </c>
      <c r="K1188">
        <f ca="1">SUM($J$2:J1188)/I1188</f>
        <v>113.19654879648267</v>
      </c>
      <c r="M1188">
        <v>1186</v>
      </c>
      <c r="N1188">
        <f t="shared" si="77"/>
        <v>0</v>
      </c>
      <c r="O1188">
        <f ca="1">SUM($N$2:N1188)/M1188</f>
        <v>115.20829299879726</v>
      </c>
    </row>
    <row r="1189" spans="1:15" x14ac:dyDescent="0.2">
      <c r="A1189">
        <v>1187</v>
      </c>
      <c r="B1189" s="11">
        <f t="shared" si="74"/>
        <v>0</v>
      </c>
      <c r="C1189">
        <f ca="1">SUM($B$2:B1189)/A1189</f>
        <v>113.10118523389086</v>
      </c>
      <c r="E1189">
        <v>1187</v>
      </c>
      <c r="F1189" s="11">
        <f t="shared" si="75"/>
        <v>0</v>
      </c>
      <c r="G1189">
        <f ca="1">SUM($F$2:F1189)/E1189</f>
        <v>115.11123462221866</v>
      </c>
      <c r="I1189">
        <v>1187</v>
      </c>
      <c r="J1189">
        <f t="shared" si="76"/>
        <v>0</v>
      </c>
      <c r="K1189">
        <f ca="1">SUM($J$2:J1189)/I1189</f>
        <v>113.10118523389086</v>
      </c>
      <c r="M1189">
        <v>1187</v>
      </c>
      <c r="N1189">
        <f t="shared" si="77"/>
        <v>0</v>
      </c>
      <c r="O1189">
        <f ca="1">SUM($N$2:N1189)/M1189</f>
        <v>115.11123462221866</v>
      </c>
    </row>
    <row r="1190" spans="1:15" x14ac:dyDescent="0.2">
      <c r="A1190">
        <v>1188</v>
      </c>
      <c r="B1190" s="11">
        <f t="shared" si="74"/>
        <v>0</v>
      </c>
      <c r="C1190">
        <f ca="1">SUM($B$2:B1190)/A1190</f>
        <v>113.0059822160172</v>
      </c>
      <c r="E1190">
        <v>1188</v>
      </c>
      <c r="F1190" s="11">
        <f t="shared" si="75"/>
        <v>0</v>
      </c>
      <c r="G1190">
        <f ca="1">SUM($F$2:F1190)/E1190</f>
        <v>115.01433964358043</v>
      </c>
      <c r="I1190">
        <v>1188</v>
      </c>
      <c r="J1190">
        <f t="shared" si="76"/>
        <v>0</v>
      </c>
      <c r="K1190">
        <f ca="1">SUM($J$2:J1190)/I1190</f>
        <v>113.0059822160172</v>
      </c>
      <c r="M1190">
        <v>1188</v>
      </c>
      <c r="N1190">
        <f t="shared" si="77"/>
        <v>0</v>
      </c>
      <c r="O1190">
        <f ca="1">SUM($N$2:N1190)/M1190</f>
        <v>115.01433964358043</v>
      </c>
    </row>
    <row r="1191" spans="1:15" x14ac:dyDescent="0.2">
      <c r="A1191">
        <v>1189</v>
      </c>
      <c r="B1191" s="11">
        <f t="shared" si="74"/>
        <v>0</v>
      </c>
      <c r="C1191">
        <f ca="1">SUM($B$2:B1191)/A1191</f>
        <v>112.91093933778674</v>
      </c>
      <c r="E1191">
        <v>1189</v>
      </c>
      <c r="F1191" s="11">
        <f t="shared" si="75"/>
        <v>0</v>
      </c>
      <c r="G1191">
        <f ca="1">SUM($F$2:F1191)/E1191</f>
        <v>114.91760765060853</v>
      </c>
      <c r="I1191">
        <v>1189</v>
      </c>
      <c r="J1191">
        <f t="shared" si="76"/>
        <v>0</v>
      </c>
      <c r="K1191">
        <f ca="1">SUM($J$2:J1191)/I1191</f>
        <v>112.91093933778674</v>
      </c>
      <c r="M1191">
        <v>1189</v>
      </c>
      <c r="N1191">
        <f t="shared" si="77"/>
        <v>0</v>
      </c>
      <c r="O1191">
        <f ca="1">SUM($N$2:N1191)/M1191</f>
        <v>114.91760765060853</v>
      </c>
    </row>
    <row r="1192" spans="1:15" x14ac:dyDescent="0.2">
      <c r="A1192">
        <v>1190</v>
      </c>
      <c r="B1192" s="11">
        <f t="shared" si="74"/>
        <v>0</v>
      </c>
      <c r="C1192">
        <f ca="1">SUM($B$2:B1192)/A1192</f>
        <v>112.81605619548608</v>
      </c>
      <c r="E1192">
        <v>1190</v>
      </c>
      <c r="F1192" s="11">
        <f t="shared" si="75"/>
        <v>0</v>
      </c>
      <c r="G1192">
        <f ca="1">SUM($F$2:F1192)/E1192</f>
        <v>114.82103823241475</v>
      </c>
      <c r="I1192">
        <v>1190</v>
      </c>
      <c r="J1192">
        <f t="shared" si="76"/>
        <v>0</v>
      </c>
      <c r="K1192">
        <f ca="1">SUM($J$2:J1192)/I1192</f>
        <v>112.81605619548608</v>
      </c>
      <c r="M1192">
        <v>1190</v>
      </c>
      <c r="N1192">
        <f t="shared" si="77"/>
        <v>0</v>
      </c>
      <c r="O1192">
        <f ca="1">SUM($N$2:N1192)/M1192</f>
        <v>114.82103823241475</v>
      </c>
    </row>
    <row r="1193" spans="1:15" x14ac:dyDescent="0.2">
      <c r="A1193">
        <v>1191</v>
      </c>
      <c r="B1193" s="11">
        <f t="shared" si="74"/>
        <v>0</v>
      </c>
      <c r="C1193">
        <f ca="1">SUM($B$2:B1193)/A1193</f>
        <v>112.72133238675772</v>
      </c>
      <c r="E1193">
        <v>1191</v>
      </c>
      <c r="F1193" s="11">
        <f t="shared" si="75"/>
        <v>0</v>
      </c>
      <c r="G1193">
        <f ca="1">SUM($F$2:F1193)/E1193</f>
        <v>114.7246309794908</v>
      </c>
      <c r="I1193">
        <v>1191</v>
      </c>
      <c r="J1193">
        <f t="shared" si="76"/>
        <v>0</v>
      </c>
      <c r="K1193">
        <f ca="1">SUM($J$2:J1193)/I1193</f>
        <v>112.72133238675772</v>
      </c>
      <c r="M1193">
        <v>1191</v>
      </c>
      <c r="N1193">
        <f t="shared" si="77"/>
        <v>0</v>
      </c>
      <c r="O1193">
        <f ca="1">SUM($N$2:N1193)/M1193</f>
        <v>114.7246309794908</v>
      </c>
    </row>
    <row r="1194" spans="1:15" x14ac:dyDescent="0.2">
      <c r="A1194">
        <v>1192</v>
      </c>
      <c r="B1194" s="11">
        <f t="shared" si="74"/>
        <v>0</v>
      </c>
      <c r="C1194">
        <f ca="1">SUM($B$2:B1194)/A1194</f>
        <v>112.62676751059433</v>
      </c>
      <c r="E1194">
        <v>1192</v>
      </c>
      <c r="F1194" s="11">
        <f t="shared" si="75"/>
        <v>0</v>
      </c>
      <c r="G1194">
        <f ca="1">SUM($F$2:F1194)/E1194</f>
        <v>114.62838548370264</v>
      </c>
      <c r="I1194">
        <v>1192</v>
      </c>
      <c r="J1194">
        <f t="shared" si="76"/>
        <v>0</v>
      </c>
      <c r="K1194">
        <f ca="1">SUM($J$2:J1194)/I1194</f>
        <v>112.62676751059433</v>
      </c>
      <c r="M1194">
        <v>1192</v>
      </c>
      <c r="N1194">
        <f t="shared" si="77"/>
        <v>0</v>
      </c>
      <c r="O1194">
        <f ca="1">SUM($N$2:N1194)/M1194</f>
        <v>114.62838548370264</v>
      </c>
    </row>
    <row r="1195" spans="1:15" x14ac:dyDescent="0.2">
      <c r="A1195">
        <v>1193</v>
      </c>
      <c r="B1195" s="11">
        <f t="shared" si="74"/>
        <v>0</v>
      </c>
      <c r="C1195">
        <f ca="1">SUM($B$2:B1195)/A1195</f>
        <v>112.53236116733315</v>
      </c>
      <c r="E1195">
        <v>1193</v>
      </c>
      <c r="F1195" s="11">
        <f t="shared" si="75"/>
        <v>0</v>
      </c>
      <c r="G1195">
        <f ca="1">SUM($F$2:F1195)/E1195</f>
        <v>114.53230133828461</v>
      </c>
      <c r="I1195">
        <v>1193</v>
      </c>
      <c r="J1195">
        <f t="shared" si="76"/>
        <v>0</v>
      </c>
      <c r="K1195">
        <f ca="1">SUM($J$2:J1195)/I1195</f>
        <v>112.53236116733315</v>
      </c>
      <c r="M1195">
        <v>1193</v>
      </c>
      <c r="N1195">
        <f t="shared" si="77"/>
        <v>0</v>
      </c>
      <c r="O1195">
        <f ca="1">SUM($N$2:N1195)/M1195</f>
        <v>114.53230133828461</v>
      </c>
    </row>
    <row r="1196" spans="1:15" x14ac:dyDescent="0.2">
      <c r="A1196">
        <v>1194</v>
      </c>
      <c r="B1196" s="11">
        <f t="shared" si="74"/>
        <v>0</v>
      </c>
      <c r="C1196">
        <f ca="1">SUM($B$2:B1196)/A1196</f>
        <v>112.43811295865029</v>
      </c>
      <c r="E1196">
        <v>1194</v>
      </c>
      <c r="F1196" s="11">
        <f t="shared" si="75"/>
        <v>0</v>
      </c>
      <c r="G1196">
        <f ca="1">SUM($F$2:F1196)/E1196</f>
        <v>114.43637813783378</v>
      </c>
      <c r="I1196">
        <v>1194</v>
      </c>
      <c r="J1196">
        <f t="shared" si="76"/>
        <v>0</v>
      </c>
      <c r="K1196">
        <f ca="1">SUM($J$2:J1196)/I1196</f>
        <v>112.43811295865029</v>
      </c>
      <c r="M1196">
        <v>1194</v>
      </c>
      <c r="N1196">
        <f t="shared" si="77"/>
        <v>0</v>
      </c>
      <c r="O1196">
        <f ca="1">SUM($N$2:N1196)/M1196</f>
        <v>114.43637813783378</v>
      </c>
    </row>
    <row r="1197" spans="1:15" x14ac:dyDescent="0.2">
      <c r="A1197">
        <v>1195</v>
      </c>
      <c r="B1197" s="11">
        <f t="shared" si="74"/>
        <v>0</v>
      </c>
      <c r="C1197">
        <f ca="1">SUM($B$2:B1197)/A1197</f>
        <v>112.34402248755518</v>
      </c>
      <c r="E1197">
        <v>1195</v>
      </c>
      <c r="F1197" s="11">
        <f t="shared" si="75"/>
        <v>0</v>
      </c>
      <c r="G1197">
        <f ca="1">SUM($F$2:F1197)/E1197</f>
        <v>114.34061547830423</v>
      </c>
      <c r="I1197">
        <v>1195</v>
      </c>
      <c r="J1197">
        <f t="shared" si="76"/>
        <v>0</v>
      </c>
      <c r="K1197">
        <f ca="1">SUM($J$2:J1197)/I1197</f>
        <v>112.34402248755518</v>
      </c>
      <c r="M1197">
        <v>1195</v>
      </c>
      <c r="N1197">
        <f t="shared" si="77"/>
        <v>0</v>
      </c>
      <c r="O1197">
        <f ca="1">SUM($N$2:N1197)/M1197</f>
        <v>114.34061547830423</v>
      </c>
    </row>
    <row r="1198" spans="1:15" x14ac:dyDescent="0.2">
      <c r="A1198">
        <v>1196</v>
      </c>
      <c r="B1198" s="11">
        <f t="shared" si="74"/>
        <v>0</v>
      </c>
      <c r="C1198">
        <f ca="1">SUM($B$2:B1198)/A1198</f>
        <v>112.25008935838498</v>
      </c>
      <c r="E1198">
        <v>1196</v>
      </c>
      <c r="F1198" s="11">
        <f t="shared" si="75"/>
        <v>0</v>
      </c>
      <c r="G1198">
        <f ca="1">SUM($F$2:F1198)/E1198</f>
        <v>114.24501295700129</v>
      </c>
      <c r="I1198">
        <v>1196</v>
      </c>
      <c r="J1198">
        <f t="shared" si="76"/>
        <v>0</v>
      </c>
      <c r="K1198">
        <f ca="1">SUM($J$2:J1198)/I1198</f>
        <v>112.25008935838498</v>
      </c>
      <c r="M1198">
        <v>1196</v>
      </c>
      <c r="N1198">
        <f t="shared" si="77"/>
        <v>0</v>
      </c>
      <c r="O1198">
        <f ca="1">SUM($N$2:N1198)/M1198</f>
        <v>114.24501295700129</v>
      </c>
    </row>
    <row r="1199" spans="1:15" x14ac:dyDescent="0.2">
      <c r="A1199">
        <v>1197</v>
      </c>
      <c r="B1199" s="11">
        <f t="shared" si="74"/>
        <v>0</v>
      </c>
      <c r="C1199">
        <f ca="1">SUM($B$2:B1199)/A1199</f>
        <v>112.15631317679903</v>
      </c>
      <c r="E1199">
        <v>1197</v>
      </c>
      <c r="F1199" s="11">
        <f t="shared" si="75"/>
        <v>0</v>
      </c>
      <c r="G1199">
        <f ca="1">SUM($F$2:F1199)/E1199</f>
        <v>114.14957017257606</v>
      </c>
      <c r="I1199">
        <v>1197</v>
      </c>
      <c r="J1199">
        <f t="shared" si="76"/>
        <v>0</v>
      </c>
      <c r="K1199">
        <f ca="1">SUM($J$2:J1199)/I1199</f>
        <v>112.15631317679903</v>
      </c>
      <c r="M1199">
        <v>1197</v>
      </c>
      <c r="N1199">
        <f t="shared" si="77"/>
        <v>0</v>
      </c>
      <c r="O1199">
        <f ca="1">SUM($N$2:N1199)/M1199</f>
        <v>114.14957017257606</v>
      </c>
    </row>
    <row r="1200" spans="1:15" x14ac:dyDescent="0.2">
      <c r="A1200">
        <v>1198</v>
      </c>
      <c r="B1200" s="11">
        <f t="shared" si="74"/>
        <v>0</v>
      </c>
      <c r="C1200">
        <f ca="1">SUM($B$2:B1200)/A1200</f>
        <v>112.06269354977333</v>
      </c>
      <c r="E1200">
        <v>1198</v>
      </c>
      <c r="F1200" s="11">
        <f t="shared" si="75"/>
        <v>0</v>
      </c>
      <c r="G1200">
        <f ca="1">SUM($F$2:F1200)/E1200</f>
        <v>114.05428672501965</v>
      </c>
      <c r="I1200">
        <v>1198</v>
      </c>
      <c r="J1200">
        <f t="shared" si="76"/>
        <v>0</v>
      </c>
      <c r="K1200">
        <f ca="1">SUM($J$2:J1200)/I1200</f>
        <v>112.06269354977333</v>
      </c>
      <c r="M1200">
        <v>1198</v>
      </c>
      <c r="N1200">
        <f t="shared" si="77"/>
        <v>0</v>
      </c>
      <c r="O1200">
        <f ca="1">SUM($N$2:N1200)/M1200</f>
        <v>114.05428672501965</v>
      </c>
    </row>
    <row r="1201" spans="1:15" x14ac:dyDescent="0.2">
      <c r="A1201">
        <v>1199</v>
      </c>
      <c r="B1201" s="11">
        <f t="shared" si="74"/>
        <v>0</v>
      </c>
      <c r="C1201">
        <f ca="1">SUM($B$2:B1201)/A1201</f>
        <v>111.96923008559503</v>
      </c>
      <c r="E1201">
        <v>1199</v>
      </c>
      <c r="F1201" s="11">
        <f t="shared" si="75"/>
        <v>0</v>
      </c>
      <c r="G1201">
        <f ca="1">SUM($F$2:F1201)/E1201</f>
        <v>113.95916221565767</v>
      </c>
      <c r="I1201">
        <v>1199</v>
      </c>
      <c r="J1201">
        <f t="shared" si="76"/>
        <v>0</v>
      </c>
      <c r="K1201">
        <f ca="1">SUM($J$2:J1201)/I1201</f>
        <v>111.96923008559503</v>
      </c>
      <c r="M1201">
        <v>1199</v>
      </c>
      <c r="N1201">
        <f t="shared" si="77"/>
        <v>0</v>
      </c>
      <c r="O1201">
        <f ca="1">SUM($N$2:N1201)/M1201</f>
        <v>113.95916221565767</v>
      </c>
    </row>
    <row r="1202" spans="1:15" x14ac:dyDescent="0.2">
      <c r="A1202">
        <v>1200</v>
      </c>
      <c r="B1202" s="11">
        <f t="shared" si="74"/>
        <v>0</v>
      </c>
      <c r="C1202">
        <f ca="1">SUM($B$2:B1202)/A1202</f>
        <v>111.87592239385704</v>
      </c>
      <c r="E1202">
        <v>1200</v>
      </c>
      <c r="F1202" s="11">
        <f t="shared" si="75"/>
        <v>0</v>
      </c>
      <c r="G1202">
        <f ca="1">SUM($F$2:F1202)/E1202</f>
        <v>113.86419624714462</v>
      </c>
      <c r="I1202">
        <v>1200</v>
      </c>
      <c r="J1202">
        <f t="shared" si="76"/>
        <v>0</v>
      </c>
      <c r="K1202">
        <f ca="1">SUM($J$2:J1202)/I1202</f>
        <v>111.87592239385704</v>
      </c>
      <c r="M1202">
        <v>1200</v>
      </c>
      <c r="N1202">
        <f t="shared" si="77"/>
        <v>0</v>
      </c>
      <c r="O1202">
        <f ca="1">SUM($N$2:N1202)/M1202</f>
        <v>113.86419624714462</v>
      </c>
    </row>
    <row r="1203" spans="1:15" x14ac:dyDescent="0.2">
      <c r="A1203">
        <v>1201</v>
      </c>
      <c r="B1203" s="11">
        <f t="shared" si="74"/>
        <v>0</v>
      </c>
      <c r="C1203">
        <f ca="1">SUM($B$2:B1203)/A1203</f>
        <v>111.7827700854525</v>
      </c>
      <c r="E1203">
        <v>1201</v>
      </c>
      <c r="F1203" s="11">
        <f t="shared" si="75"/>
        <v>0</v>
      </c>
      <c r="G1203">
        <f ca="1">SUM($F$2:F1203)/E1203</f>
        <v>113.76938842345841</v>
      </c>
      <c r="I1203">
        <v>1201</v>
      </c>
      <c r="J1203">
        <f t="shared" si="76"/>
        <v>0</v>
      </c>
      <c r="K1203">
        <f ca="1">SUM($J$2:J1203)/I1203</f>
        <v>111.7827700854525</v>
      </c>
      <c r="M1203">
        <v>1201</v>
      </c>
      <c r="N1203">
        <f t="shared" si="77"/>
        <v>0</v>
      </c>
      <c r="O1203">
        <f ca="1">SUM($N$2:N1203)/M1203</f>
        <v>113.76938842345841</v>
      </c>
    </row>
    <row r="1204" spans="1:15" x14ac:dyDescent="0.2">
      <c r="A1204">
        <v>1202</v>
      </c>
      <c r="B1204" s="11">
        <f t="shared" si="74"/>
        <v>0</v>
      </c>
      <c r="C1204">
        <f ca="1">SUM($B$2:B1204)/A1204</f>
        <v>111.68977277256943</v>
      </c>
      <c r="E1204">
        <v>1202</v>
      </c>
      <c r="F1204" s="11">
        <f t="shared" si="75"/>
        <v>0</v>
      </c>
      <c r="G1204">
        <f ca="1">SUM($F$2:F1204)/E1204</f>
        <v>113.6747383498948</v>
      </c>
      <c r="I1204">
        <v>1202</v>
      </c>
      <c r="J1204">
        <f t="shared" si="76"/>
        <v>0</v>
      </c>
      <c r="K1204">
        <f ca="1">SUM($J$2:J1204)/I1204</f>
        <v>111.68977277256943</v>
      </c>
      <c r="M1204">
        <v>1202</v>
      </c>
      <c r="N1204">
        <f t="shared" si="77"/>
        <v>0</v>
      </c>
      <c r="O1204">
        <f ca="1">SUM($N$2:N1204)/M1204</f>
        <v>113.6747383498948</v>
      </c>
    </row>
    <row r="1205" spans="1:15" x14ac:dyDescent="0.2">
      <c r="A1205">
        <v>1203</v>
      </c>
      <c r="B1205" s="11">
        <f t="shared" si="74"/>
        <v>0</v>
      </c>
      <c r="C1205">
        <f ca="1">SUM($B$2:B1205)/A1205</f>
        <v>111.59693006868532</v>
      </c>
      <c r="E1205">
        <v>1203</v>
      </c>
      <c r="F1205" s="11">
        <f t="shared" si="75"/>
        <v>0</v>
      </c>
      <c r="G1205">
        <f ca="1">SUM($F$2:F1205)/E1205</f>
        <v>113.58024563306196</v>
      </c>
      <c r="I1205">
        <v>1203</v>
      </c>
      <c r="J1205">
        <f t="shared" si="76"/>
        <v>0</v>
      </c>
      <c r="K1205">
        <f ca="1">SUM($J$2:J1205)/I1205</f>
        <v>111.59693006868532</v>
      </c>
      <c r="M1205">
        <v>1203</v>
      </c>
      <c r="N1205">
        <f t="shared" si="77"/>
        <v>0</v>
      </c>
      <c r="O1205">
        <f ca="1">SUM($N$2:N1205)/M1205</f>
        <v>113.58024563306196</v>
      </c>
    </row>
    <row r="1206" spans="1:15" x14ac:dyDescent="0.2">
      <c r="A1206">
        <v>1204</v>
      </c>
      <c r="B1206" s="11">
        <f t="shared" si="74"/>
        <v>0</v>
      </c>
      <c r="C1206">
        <f ca="1">SUM($B$2:B1206)/A1206</f>
        <v>111.50424158856183</v>
      </c>
      <c r="E1206">
        <v>1204</v>
      </c>
      <c r="F1206" s="11">
        <f t="shared" si="75"/>
        <v>0</v>
      </c>
      <c r="G1206">
        <f ca="1">SUM($F$2:F1206)/E1206</f>
        <v>113.48590988087504</v>
      </c>
      <c r="I1206">
        <v>1204</v>
      </c>
      <c r="J1206">
        <f t="shared" si="76"/>
        <v>0</v>
      </c>
      <c r="K1206">
        <f ca="1">SUM($J$2:J1206)/I1206</f>
        <v>111.50424158856183</v>
      </c>
      <c r="M1206">
        <v>1204</v>
      </c>
      <c r="N1206">
        <f t="shared" si="77"/>
        <v>0</v>
      </c>
      <c r="O1206">
        <f ca="1">SUM($N$2:N1206)/M1206</f>
        <v>113.48590988087504</v>
      </c>
    </row>
    <row r="1207" spans="1:15" x14ac:dyDescent="0.2">
      <c r="A1207">
        <v>1205</v>
      </c>
      <c r="B1207" s="11">
        <f t="shared" si="74"/>
        <v>0</v>
      </c>
      <c r="C1207">
        <f ca="1">SUM($B$2:B1207)/A1207</f>
        <v>111.41170694823937</v>
      </c>
      <c r="E1207">
        <v>1205</v>
      </c>
      <c r="F1207" s="11">
        <f t="shared" si="75"/>
        <v>0</v>
      </c>
      <c r="G1207">
        <f ca="1">SUM($F$2:F1207)/E1207</f>
        <v>113.39173070255066</v>
      </c>
      <c r="I1207">
        <v>1205</v>
      </c>
      <c r="J1207">
        <f t="shared" si="76"/>
        <v>0</v>
      </c>
      <c r="K1207">
        <f ca="1">SUM($J$2:J1207)/I1207</f>
        <v>111.41170694823937</v>
      </c>
      <c r="M1207">
        <v>1205</v>
      </c>
      <c r="N1207">
        <f t="shared" si="77"/>
        <v>0</v>
      </c>
      <c r="O1207">
        <f ca="1">SUM($N$2:N1207)/M1207</f>
        <v>113.39173070255066</v>
      </c>
    </row>
    <row r="1208" spans="1:15" x14ac:dyDescent="0.2">
      <c r="A1208">
        <v>1206</v>
      </c>
      <c r="B1208" s="11">
        <f t="shared" si="74"/>
        <v>0</v>
      </c>
      <c r="C1208">
        <f ca="1">SUM($B$2:B1208)/A1208</f>
        <v>111.31932576503188</v>
      </c>
      <c r="E1208">
        <v>1206</v>
      </c>
      <c r="F1208" s="11">
        <f t="shared" si="75"/>
        <v>0</v>
      </c>
      <c r="G1208">
        <f ca="1">SUM($F$2:F1208)/E1208</f>
        <v>113.29770770860161</v>
      </c>
      <c r="I1208">
        <v>1206</v>
      </c>
      <c r="J1208">
        <f t="shared" si="76"/>
        <v>0</v>
      </c>
      <c r="K1208">
        <f ca="1">SUM($J$2:J1208)/I1208</f>
        <v>111.31932576503188</v>
      </c>
      <c r="M1208">
        <v>1206</v>
      </c>
      <c r="N1208">
        <f t="shared" si="77"/>
        <v>0</v>
      </c>
      <c r="O1208">
        <f ca="1">SUM($N$2:N1208)/M1208</f>
        <v>113.29770770860161</v>
      </c>
    </row>
    <row r="1209" spans="1:15" x14ac:dyDescent="0.2">
      <c r="A1209">
        <v>1207</v>
      </c>
      <c r="B1209" s="11">
        <f t="shared" si="74"/>
        <v>0</v>
      </c>
      <c r="C1209">
        <f ca="1">SUM($B$2:B1209)/A1209</f>
        <v>111.2270976575215</v>
      </c>
      <c r="E1209">
        <v>1207</v>
      </c>
      <c r="F1209" s="11">
        <f t="shared" si="75"/>
        <v>0</v>
      </c>
      <c r="G1209">
        <f ca="1">SUM($F$2:F1209)/E1209</f>
        <v>113.20384051083144</v>
      </c>
      <c r="I1209">
        <v>1207</v>
      </c>
      <c r="J1209">
        <f t="shared" si="76"/>
        <v>0</v>
      </c>
      <c r="K1209">
        <f ca="1">SUM($J$2:J1209)/I1209</f>
        <v>111.2270976575215</v>
      </c>
      <c r="M1209">
        <v>1207</v>
      </c>
      <c r="N1209">
        <f t="shared" si="77"/>
        <v>0</v>
      </c>
      <c r="O1209">
        <f ca="1">SUM($N$2:N1209)/M1209</f>
        <v>113.20384051083144</v>
      </c>
    </row>
    <row r="1210" spans="1:15" x14ac:dyDescent="0.2">
      <c r="A1210">
        <v>1208</v>
      </c>
      <c r="B1210" s="11">
        <f t="shared" si="74"/>
        <v>0</v>
      </c>
      <c r="C1210">
        <f ca="1">SUM($B$2:B1210)/A1210</f>
        <v>111.13502224555334</v>
      </c>
      <c r="E1210">
        <v>1208</v>
      </c>
      <c r="F1210" s="11">
        <f t="shared" si="75"/>
        <v>0</v>
      </c>
      <c r="G1210">
        <f ca="1">SUM($F$2:F1210)/E1210</f>
        <v>113.11012872232909</v>
      </c>
      <c r="I1210">
        <v>1208</v>
      </c>
      <c r="J1210">
        <f t="shared" si="76"/>
        <v>0</v>
      </c>
      <c r="K1210">
        <f ca="1">SUM($J$2:J1210)/I1210</f>
        <v>111.13502224555334</v>
      </c>
      <c r="M1210">
        <v>1208</v>
      </c>
      <c r="N1210">
        <f t="shared" si="77"/>
        <v>0</v>
      </c>
      <c r="O1210">
        <f ca="1">SUM($N$2:N1210)/M1210</f>
        <v>113.11012872232909</v>
      </c>
    </row>
    <row r="1211" spans="1:15" x14ac:dyDescent="0.2">
      <c r="A1211">
        <v>1209</v>
      </c>
      <c r="B1211" s="11">
        <f t="shared" si="74"/>
        <v>0</v>
      </c>
      <c r="C1211">
        <f ca="1">SUM($B$2:B1211)/A1211</f>
        <v>111.0430991502303</v>
      </c>
      <c r="E1211">
        <v>1209</v>
      </c>
      <c r="F1211" s="11">
        <f t="shared" si="75"/>
        <v>0</v>
      </c>
      <c r="G1211">
        <f ca="1">SUM($F$2:F1211)/E1211</f>
        <v>113.01657195746364</v>
      </c>
      <c r="I1211">
        <v>1209</v>
      </c>
      <c r="J1211">
        <f t="shared" si="76"/>
        <v>0</v>
      </c>
      <c r="K1211">
        <f ca="1">SUM($J$2:J1211)/I1211</f>
        <v>111.0430991502303</v>
      </c>
      <c r="M1211">
        <v>1209</v>
      </c>
      <c r="N1211">
        <f t="shared" si="77"/>
        <v>0</v>
      </c>
      <c r="O1211">
        <f ca="1">SUM($N$2:N1211)/M1211</f>
        <v>113.01657195746364</v>
      </c>
    </row>
    <row r="1212" spans="1:15" x14ac:dyDescent="0.2">
      <c r="A1212">
        <v>1210</v>
      </c>
      <c r="B1212" s="11">
        <f t="shared" si="74"/>
        <v>0</v>
      </c>
      <c r="C1212">
        <f ca="1">SUM($B$2:B1212)/A1212</f>
        <v>110.95132799390781</v>
      </c>
      <c r="E1212">
        <v>1210</v>
      </c>
      <c r="F1212" s="11">
        <f t="shared" si="75"/>
        <v>0</v>
      </c>
      <c r="G1212">
        <f ca="1">SUM($F$2:F1212)/E1212</f>
        <v>112.92316983187897</v>
      </c>
      <c r="I1212">
        <v>1210</v>
      </c>
      <c r="J1212">
        <f t="shared" si="76"/>
        <v>0</v>
      </c>
      <c r="K1212">
        <f ca="1">SUM($J$2:J1212)/I1212</f>
        <v>110.95132799390781</v>
      </c>
      <c r="M1212">
        <v>1210</v>
      </c>
      <c r="N1212">
        <f t="shared" si="77"/>
        <v>0</v>
      </c>
      <c r="O1212">
        <f ca="1">SUM($N$2:N1212)/M1212</f>
        <v>112.92316983187897</v>
      </c>
    </row>
    <row r="1213" spans="1:15" x14ac:dyDescent="0.2">
      <c r="A1213">
        <v>1211</v>
      </c>
      <c r="B1213" s="11">
        <f t="shared" si="74"/>
        <v>0</v>
      </c>
      <c r="C1213">
        <f ca="1">SUM($B$2:B1213)/A1213</f>
        <v>110.85970840018864</v>
      </c>
      <c r="E1213">
        <v>1211</v>
      </c>
      <c r="F1213" s="11">
        <f t="shared" si="75"/>
        <v>0</v>
      </c>
      <c r="G1213">
        <f ca="1">SUM($F$2:F1213)/E1213</f>
        <v>112.82992196248848</v>
      </c>
      <c r="I1213">
        <v>1211</v>
      </c>
      <c r="J1213">
        <f t="shared" si="76"/>
        <v>0</v>
      </c>
      <c r="K1213">
        <f ca="1">SUM($J$2:J1213)/I1213</f>
        <v>110.85970840018864</v>
      </c>
      <c r="M1213">
        <v>1211</v>
      </c>
      <c r="N1213">
        <f t="shared" si="77"/>
        <v>0</v>
      </c>
      <c r="O1213">
        <f ca="1">SUM($N$2:N1213)/M1213</f>
        <v>112.82992196248848</v>
      </c>
    </row>
    <row r="1214" spans="1:15" x14ac:dyDescent="0.2">
      <c r="A1214">
        <v>1212</v>
      </c>
      <c r="B1214" s="11">
        <f t="shared" si="74"/>
        <v>0</v>
      </c>
      <c r="C1214">
        <f ca="1">SUM($B$2:B1214)/A1214</f>
        <v>110.76823999391786</v>
      </c>
      <c r="E1214">
        <v>1212</v>
      </c>
      <c r="F1214" s="11">
        <f t="shared" si="75"/>
        <v>0</v>
      </c>
      <c r="G1214">
        <f ca="1">SUM($F$2:F1214)/E1214</f>
        <v>112.73682796746992</v>
      </c>
      <c r="I1214">
        <v>1212</v>
      </c>
      <c r="J1214">
        <f t="shared" si="76"/>
        <v>0</v>
      </c>
      <c r="K1214">
        <f ca="1">SUM($J$2:J1214)/I1214</f>
        <v>110.76823999391786</v>
      </c>
      <c r="M1214">
        <v>1212</v>
      </c>
      <c r="N1214">
        <f t="shared" si="77"/>
        <v>0</v>
      </c>
      <c r="O1214">
        <f ca="1">SUM($N$2:N1214)/M1214</f>
        <v>112.73682796746992</v>
      </c>
    </row>
    <row r="1215" spans="1:15" x14ac:dyDescent="0.2">
      <c r="A1215">
        <v>1213</v>
      </c>
      <c r="B1215" s="11">
        <f t="shared" si="74"/>
        <v>0</v>
      </c>
      <c r="C1215">
        <f ca="1">SUM($B$2:B1215)/A1215</f>
        <v>110.67692240117761</v>
      </c>
      <c r="E1215">
        <v>1213</v>
      </c>
      <c r="F1215" s="11">
        <f t="shared" si="75"/>
        <v>0</v>
      </c>
      <c r="G1215">
        <f ca="1">SUM($F$2:F1215)/E1215</f>
        <v>112.64388746626014</v>
      </c>
      <c r="I1215">
        <v>1213</v>
      </c>
      <c r="J1215">
        <f t="shared" si="76"/>
        <v>0</v>
      </c>
      <c r="K1215">
        <f ca="1">SUM($J$2:J1215)/I1215</f>
        <v>110.67692240117761</v>
      </c>
      <c r="M1215">
        <v>1213</v>
      </c>
      <c r="N1215">
        <f t="shared" si="77"/>
        <v>0</v>
      </c>
      <c r="O1215">
        <f ca="1">SUM($N$2:N1215)/M1215</f>
        <v>112.64388746626014</v>
      </c>
    </row>
    <row r="1216" spans="1:15" x14ac:dyDescent="0.2">
      <c r="A1216">
        <v>1214</v>
      </c>
      <c r="B1216" s="11">
        <f t="shared" si="74"/>
        <v>0</v>
      </c>
      <c r="C1216">
        <f ca="1">SUM($B$2:B1216)/A1216</f>
        <v>110.58575524928207</v>
      </c>
      <c r="E1216">
        <v>1214</v>
      </c>
      <c r="F1216" s="11">
        <f t="shared" si="75"/>
        <v>0</v>
      </c>
      <c r="G1216">
        <f ca="1">SUM($F$2:F1216)/E1216</f>
        <v>112.55110007954987</v>
      </c>
      <c r="I1216">
        <v>1214</v>
      </c>
      <c r="J1216">
        <f t="shared" si="76"/>
        <v>0</v>
      </c>
      <c r="K1216">
        <f ca="1">SUM($J$2:J1216)/I1216</f>
        <v>110.58575524928207</v>
      </c>
      <c r="M1216">
        <v>1214</v>
      </c>
      <c r="N1216">
        <f t="shared" si="77"/>
        <v>0</v>
      </c>
      <c r="O1216">
        <f ca="1">SUM($N$2:N1216)/M1216</f>
        <v>112.55110007954987</v>
      </c>
    </row>
    <row r="1217" spans="1:15" x14ac:dyDescent="0.2">
      <c r="A1217">
        <v>1215</v>
      </c>
      <c r="B1217" s="11">
        <f t="shared" si="74"/>
        <v>0</v>
      </c>
      <c r="C1217">
        <f ca="1">SUM($B$2:B1217)/A1217</f>
        <v>110.49473816677238</v>
      </c>
      <c r="E1217">
        <v>1215</v>
      </c>
      <c r="F1217" s="11">
        <f t="shared" si="75"/>
        <v>0</v>
      </c>
      <c r="G1217">
        <f ca="1">SUM($F$2:F1217)/E1217</f>
        <v>112.45846542927863</v>
      </c>
      <c r="I1217">
        <v>1215</v>
      </c>
      <c r="J1217">
        <f t="shared" si="76"/>
        <v>0</v>
      </c>
      <c r="K1217">
        <f ca="1">SUM($J$2:J1217)/I1217</f>
        <v>110.49473816677238</v>
      </c>
      <c r="M1217">
        <v>1215</v>
      </c>
      <c r="N1217">
        <f t="shared" si="77"/>
        <v>0</v>
      </c>
      <c r="O1217">
        <f ca="1">SUM($N$2:N1217)/M1217</f>
        <v>112.45846542927863</v>
      </c>
    </row>
    <row r="1218" spans="1:15" x14ac:dyDescent="0.2">
      <c r="A1218">
        <v>1216</v>
      </c>
      <c r="B1218" s="11">
        <f t="shared" si="74"/>
        <v>0</v>
      </c>
      <c r="C1218">
        <f ca="1">SUM($B$2:B1218)/A1218</f>
        <v>110.40387078341155</v>
      </c>
      <c r="E1218">
        <v>1216</v>
      </c>
      <c r="F1218" s="11">
        <f t="shared" si="75"/>
        <v>0</v>
      </c>
      <c r="G1218">
        <f ca="1">SUM($F$2:F1218)/E1218</f>
        <v>112.36598313862956</v>
      </c>
      <c r="I1218">
        <v>1216</v>
      </c>
      <c r="J1218">
        <f t="shared" si="76"/>
        <v>0</v>
      </c>
      <c r="K1218">
        <f ca="1">SUM($J$2:J1218)/I1218</f>
        <v>110.40387078341155</v>
      </c>
      <c r="M1218">
        <v>1216</v>
      </c>
      <c r="N1218">
        <f t="shared" si="77"/>
        <v>0</v>
      </c>
      <c r="O1218">
        <f ca="1">SUM($N$2:N1218)/M1218</f>
        <v>112.36598313862956</v>
      </c>
    </row>
    <row r="1219" spans="1:15" x14ac:dyDescent="0.2">
      <c r="A1219">
        <v>1217</v>
      </c>
      <c r="B1219" s="11">
        <f t="shared" ref="B1219:B1282" si="78">IF(ARCap-IF((A1219-IF(A1219/180&gt;1,ROUNDDOWN(A1219/180,0)*180,0))/30&lt;=1,IF(200*15*BaseSpeed/60*(YellowConnects+WhiteMHConnects+WhiteOHConnects+HoJConnects+WindfuryConnects+SSConnects+IronfoeConnects)*(A1219-180*ROUNDDOWN(A1219/180,0))&gt;1200,1200,200*15*BaseSpeed/60*(YellowConnects+WhiteMHConnects+WhiteOHConnects+HoJConnects+WindfuryConnects+SSConnects+IronfoeConnects)*(A1219-180*ROUNDDOWN(A1219/180,0))),0)&lt;0,ARCap,IF((A1219-IF(A1219/180&gt;1,ROUNDDOWN(A1218/180,0)*180,0))/30&lt;=1,IF(200*15*BaseSpeed/60*(YellowConnects+WhiteMHConnects+WhiteOHConnects+HoJConnects+WindfuryConnects+SSConnects+IronfoeConnects)*(A1219-180*ROUNDDOWN(A1219/180,0))&gt;1200,1200,200*15*BaseSpeed/60*(YellowConnects+WhiteMHConnects+WhiteOHConnects+HoJConnects+WindfuryConnects+SSConnects+IronfoeConnects)*(A1219-180*ROUNDDOWN(A1219/180,0))),0))</f>
        <v>0</v>
      </c>
      <c r="C1219">
        <f ca="1">SUM($B$2:B1219)/A1219</f>
        <v>110.3131527301795</v>
      </c>
      <c r="E1219">
        <v>1217</v>
      </c>
      <c r="F1219" s="11">
        <f t="shared" ref="F1219:F1282" si="79">IF(ARCap-IF((A1219-IF(A1219/180&gt;1,ROUNDDOWN(A1219/180,0)*180,0))/30&lt;=1,IF(200*15*BaseSpeed/60*(YellowConnects20+WhiteMHConnects20+WhiteOHConnects20+HoJConnects20+WindfuryConnects20+SSConnects20+IronfoeConnects20)*(A1219-180*ROUNDDOWN(A1219/180,0))&gt;1200,1200,200*15*BaseSpeed/60*(YellowConnects20+WhiteMHConnects20+WhiteOHConnects20+HoJConnects20+WindfuryConnects20+SSConnects20+IronfoeConnects20)*(A1219-180*ROUNDDOWN(A1219/180,0))),0)&lt;0,ARCap,IF((A1219-IF(A1219/180&gt;1,ROUNDDOWN(A1219/180,0)*180,0))/30&lt;=1,IF(200*15*BaseSpeed/60*(YellowConnects20+WhiteMHConnects20+WhiteOHConnects20+HoJConnects20+WindfuryConnects20+SSConnects20+IronfoeConnects20)*(A1219-180*ROUNDDOWN(A1219/180,0))&gt;1200,1200,200*15*BaseSpeed/60*(YellowConnects20+WhiteMHConnects20+WhiteOHConnects20+HoJConnects20+WindfuryConnects20+SSConnects20+IronfoeConnects20)*(A1219-180*ROUNDDOWN(A1219/180,0))),0))</f>
        <v>0</v>
      </c>
      <c r="G1219">
        <f ca="1">SUM($F$2:F1219)/E1219</f>
        <v>112.27365283202428</v>
      </c>
      <c r="I1219">
        <v>1217</v>
      </c>
      <c r="J1219">
        <f t="shared" ref="J1219:J1282" si="80">IF(ARCap-(B1219+BRE)&lt;0,ARCap,B1219+BRE)</f>
        <v>0</v>
      </c>
      <c r="K1219">
        <f ca="1">SUM($J$2:J1219)/I1219</f>
        <v>110.3131527301795</v>
      </c>
      <c r="M1219">
        <v>1217</v>
      </c>
      <c r="N1219">
        <f t="shared" ref="N1219:N1282" si="81">IF(ARCap-(F1219+BREArmorReduction20)&lt;0,ARCap,F1219+BREArmorReduction20)</f>
        <v>0</v>
      </c>
      <c r="O1219">
        <f ca="1">SUM($N$2:N1219)/M1219</f>
        <v>112.27365283202428</v>
      </c>
    </row>
    <row r="1220" spans="1:15" x14ac:dyDescent="0.2">
      <c r="A1220">
        <v>1218</v>
      </c>
      <c r="B1220" s="11">
        <f t="shared" si="78"/>
        <v>0</v>
      </c>
      <c r="C1220">
        <f ca="1">SUM($B$2:B1220)/A1220</f>
        <v>110.22258363926801</v>
      </c>
      <c r="E1220">
        <v>1218</v>
      </c>
      <c r="F1220" s="11">
        <f t="shared" si="79"/>
        <v>0</v>
      </c>
      <c r="G1220">
        <f ca="1">SUM($F$2:F1220)/E1220</f>
        <v>112.18147413511785</v>
      </c>
      <c r="I1220">
        <v>1218</v>
      </c>
      <c r="J1220">
        <f t="shared" si="80"/>
        <v>0</v>
      </c>
      <c r="K1220">
        <f ca="1">SUM($J$2:J1220)/I1220</f>
        <v>110.22258363926801</v>
      </c>
      <c r="M1220">
        <v>1218</v>
      </c>
      <c r="N1220">
        <f t="shared" si="81"/>
        <v>0</v>
      </c>
      <c r="O1220">
        <f ca="1">SUM($N$2:N1220)/M1220</f>
        <v>112.18147413511785</v>
      </c>
    </row>
    <row r="1221" spans="1:15" x14ac:dyDescent="0.2">
      <c r="A1221">
        <v>1219</v>
      </c>
      <c r="B1221" s="11">
        <f t="shared" si="78"/>
        <v>0</v>
      </c>
      <c r="C1221">
        <f ca="1">SUM($B$2:B1221)/A1221</f>
        <v>110.13216314407583</v>
      </c>
      <c r="E1221">
        <v>1219</v>
      </c>
      <c r="F1221" s="11">
        <f t="shared" si="79"/>
        <v>0</v>
      </c>
      <c r="G1221">
        <f ca="1">SUM($F$2:F1221)/E1221</f>
        <v>112.08944667479372</v>
      </c>
      <c r="I1221">
        <v>1219</v>
      </c>
      <c r="J1221">
        <f t="shared" si="80"/>
        <v>0</v>
      </c>
      <c r="K1221">
        <f ca="1">SUM($J$2:J1221)/I1221</f>
        <v>110.13216314407583</v>
      </c>
      <c r="M1221">
        <v>1219</v>
      </c>
      <c r="N1221">
        <f t="shared" si="81"/>
        <v>0</v>
      </c>
      <c r="O1221">
        <f ca="1">SUM($N$2:N1221)/M1221</f>
        <v>112.08944667479372</v>
      </c>
    </row>
    <row r="1222" spans="1:15" x14ac:dyDescent="0.2">
      <c r="A1222">
        <v>1220</v>
      </c>
      <c r="B1222" s="11">
        <f t="shared" si="78"/>
        <v>0</v>
      </c>
      <c r="C1222">
        <f ca="1">SUM($B$2:B1222)/A1222</f>
        <v>110.04189087920363</v>
      </c>
      <c r="E1222">
        <v>1220</v>
      </c>
      <c r="F1222" s="11">
        <f t="shared" si="79"/>
        <v>0</v>
      </c>
      <c r="G1222">
        <f ca="1">SUM($F$2:F1222)/E1222</f>
        <v>111.99757007915865</v>
      </c>
      <c r="I1222">
        <v>1220</v>
      </c>
      <c r="J1222">
        <f t="shared" si="80"/>
        <v>0</v>
      </c>
      <c r="K1222">
        <f ca="1">SUM($J$2:J1222)/I1222</f>
        <v>110.04189087920363</v>
      </c>
      <c r="M1222">
        <v>1220</v>
      </c>
      <c r="N1222">
        <f t="shared" si="81"/>
        <v>0</v>
      </c>
      <c r="O1222">
        <f ca="1">SUM($N$2:N1222)/M1222</f>
        <v>111.99757007915865</v>
      </c>
    </row>
    <row r="1223" spans="1:15" x14ac:dyDescent="0.2">
      <c r="A1223">
        <v>1221</v>
      </c>
      <c r="B1223" s="11">
        <f t="shared" si="78"/>
        <v>0</v>
      </c>
      <c r="C1223">
        <f ca="1">SUM($B$2:B1223)/A1223</f>
        <v>109.95176648044918</v>
      </c>
      <c r="E1223">
        <v>1221</v>
      </c>
      <c r="F1223" s="11">
        <f t="shared" si="79"/>
        <v>0</v>
      </c>
      <c r="G1223">
        <f ca="1">SUM($F$2:F1223)/E1223</f>
        <v>111.90584397753771</v>
      </c>
      <c r="I1223">
        <v>1221</v>
      </c>
      <c r="J1223">
        <f t="shared" si="80"/>
        <v>0</v>
      </c>
      <c r="K1223">
        <f ca="1">SUM($J$2:J1223)/I1223</f>
        <v>109.95176648044918</v>
      </c>
      <c r="M1223">
        <v>1221</v>
      </c>
      <c r="N1223">
        <f t="shared" si="81"/>
        <v>0</v>
      </c>
      <c r="O1223">
        <f ca="1">SUM($N$2:N1223)/M1223</f>
        <v>111.90584397753771</v>
      </c>
    </row>
    <row r="1224" spans="1:15" x14ac:dyDescent="0.2">
      <c r="A1224">
        <v>1222</v>
      </c>
      <c r="B1224" s="11">
        <f t="shared" si="78"/>
        <v>0</v>
      </c>
      <c r="C1224">
        <f ca="1">SUM($B$2:B1224)/A1224</f>
        <v>109.86178958480232</v>
      </c>
      <c r="E1224">
        <v>1222</v>
      </c>
      <c r="F1224" s="11">
        <f t="shared" si="79"/>
        <v>0</v>
      </c>
      <c r="G1224">
        <f ca="1">SUM($F$2:F1224)/E1224</f>
        <v>111.81426800046935</v>
      </c>
      <c r="I1224">
        <v>1222</v>
      </c>
      <c r="J1224">
        <f t="shared" si="80"/>
        <v>0</v>
      </c>
      <c r="K1224">
        <f ca="1">SUM($J$2:J1224)/I1224</f>
        <v>109.86178958480232</v>
      </c>
      <c r="M1224">
        <v>1222</v>
      </c>
      <c r="N1224">
        <f t="shared" si="81"/>
        <v>0</v>
      </c>
      <c r="O1224">
        <f ca="1">SUM($N$2:N1224)/M1224</f>
        <v>111.81426800046935</v>
      </c>
    </row>
    <row r="1225" spans="1:15" x14ac:dyDescent="0.2">
      <c r="A1225">
        <v>1223</v>
      </c>
      <c r="B1225" s="11">
        <f t="shared" si="78"/>
        <v>0</v>
      </c>
      <c r="C1225">
        <f ca="1">SUM($B$2:B1225)/A1225</f>
        <v>109.77195983044027</v>
      </c>
      <c r="E1225">
        <v>1223</v>
      </c>
      <c r="F1225" s="11">
        <f t="shared" si="79"/>
        <v>0</v>
      </c>
      <c r="G1225">
        <f ca="1">SUM($F$2:F1225)/E1225</f>
        <v>111.72284177970036</v>
      </c>
      <c r="I1225">
        <v>1223</v>
      </c>
      <c r="J1225">
        <f t="shared" si="80"/>
        <v>0</v>
      </c>
      <c r="K1225">
        <f ca="1">SUM($J$2:J1225)/I1225</f>
        <v>109.77195983044027</v>
      </c>
      <c r="M1225">
        <v>1223</v>
      </c>
      <c r="N1225">
        <f t="shared" si="81"/>
        <v>0</v>
      </c>
      <c r="O1225">
        <f ca="1">SUM($N$2:N1225)/M1225</f>
        <v>111.72284177970036</v>
      </c>
    </row>
    <row r="1226" spans="1:15" x14ac:dyDescent="0.2">
      <c r="A1226">
        <v>1224</v>
      </c>
      <c r="B1226" s="11">
        <f t="shared" si="78"/>
        <v>0</v>
      </c>
      <c r="C1226">
        <f ca="1">SUM($B$2:B1226)/A1226</f>
        <v>109.68227685672258</v>
      </c>
      <c r="E1226">
        <v>1224</v>
      </c>
      <c r="F1226" s="11">
        <f t="shared" si="79"/>
        <v>0</v>
      </c>
      <c r="G1226">
        <f ca="1">SUM($F$2:F1226)/E1226</f>
        <v>111.63156494818101</v>
      </c>
      <c r="I1226">
        <v>1224</v>
      </c>
      <c r="J1226">
        <f t="shared" si="80"/>
        <v>0</v>
      </c>
      <c r="K1226">
        <f ca="1">SUM($J$2:J1226)/I1226</f>
        <v>109.68227685672258</v>
      </c>
      <c r="M1226">
        <v>1224</v>
      </c>
      <c r="N1226">
        <f t="shared" si="81"/>
        <v>0</v>
      </c>
      <c r="O1226">
        <f ca="1">SUM($N$2:N1226)/M1226</f>
        <v>111.63156494818101</v>
      </c>
    </row>
    <row r="1227" spans="1:15" x14ac:dyDescent="0.2">
      <c r="A1227">
        <v>1225</v>
      </c>
      <c r="B1227" s="11">
        <f t="shared" si="78"/>
        <v>0</v>
      </c>
      <c r="C1227">
        <f ca="1">SUM($B$2:B1227)/A1227</f>
        <v>109.59274030418648</v>
      </c>
      <c r="E1227">
        <v>1225</v>
      </c>
      <c r="F1227" s="11">
        <f t="shared" si="79"/>
        <v>0</v>
      </c>
      <c r="G1227">
        <f ca="1">SUM($F$2:F1227)/E1227</f>
        <v>111.54043714006004</v>
      </c>
      <c r="I1227">
        <v>1225</v>
      </c>
      <c r="J1227">
        <f t="shared" si="80"/>
        <v>0</v>
      </c>
      <c r="K1227">
        <f ca="1">SUM($J$2:J1227)/I1227</f>
        <v>109.59274030418648</v>
      </c>
      <c r="M1227">
        <v>1225</v>
      </c>
      <c r="N1227">
        <f t="shared" si="81"/>
        <v>0</v>
      </c>
      <c r="O1227">
        <f ca="1">SUM($N$2:N1227)/M1227</f>
        <v>111.54043714006004</v>
      </c>
    </row>
    <row r="1228" spans="1:15" x14ac:dyDescent="0.2">
      <c r="A1228">
        <v>1226</v>
      </c>
      <c r="B1228" s="11">
        <f t="shared" si="78"/>
        <v>0</v>
      </c>
      <c r="C1228">
        <f ca="1">SUM($B$2:B1228)/A1228</f>
        <v>109.50334981454196</v>
      </c>
      <c r="E1228">
        <v>1226</v>
      </c>
      <c r="F1228" s="11">
        <f t="shared" si="79"/>
        <v>0</v>
      </c>
      <c r="G1228">
        <f ca="1">SUM($F$2:F1228)/E1228</f>
        <v>111.44945799067989</v>
      </c>
      <c r="I1228">
        <v>1226</v>
      </c>
      <c r="J1228">
        <f t="shared" si="80"/>
        <v>0</v>
      </c>
      <c r="K1228">
        <f ca="1">SUM($J$2:J1228)/I1228</f>
        <v>109.50334981454196</v>
      </c>
      <c r="M1228">
        <v>1226</v>
      </c>
      <c r="N1228">
        <f t="shared" si="81"/>
        <v>0</v>
      </c>
      <c r="O1228">
        <f ca="1">SUM($N$2:N1228)/M1228</f>
        <v>111.44945799067989</v>
      </c>
    </row>
    <row r="1229" spans="1:15" x14ac:dyDescent="0.2">
      <c r="A1229">
        <v>1227</v>
      </c>
      <c r="B1229" s="11">
        <f t="shared" si="78"/>
        <v>0</v>
      </c>
      <c r="C1229">
        <f ca="1">SUM($B$2:B1229)/A1229</f>
        <v>109.41410503066703</v>
      </c>
      <c r="E1229">
        <v>1227</v>
      </c>
      <c r="F1229" s="11">
        <f t="shared" si="79"/>
        <v>0</v>
      </c>
      <c r="G1229">
        <f ca="1">SUM($F$2:F1229)/E1229</f>
        <v>111.35862713657176</v>
      </c>
      <c r="I1229">
        <v>1227</v>
      </c>
      <c r="J1229">
        <f t="shared" si="80"/>
        <v>0</v>
      </c>
      <c r="K1229">
        <f ca="1">SUM($J$2:J1229)/I1229</f>
        <v>109.41410503066703</v>
      </c>
      <c r="M1229">
        <v>1227</v>
      </c>
      <c r="N1229">
        <f t="shared" si="81"/>
        <v>0</v>
      </c>
      <c r="O1229">
        <f ca="1">SUM($N$2:N1229)/M1229</f>
        <v>111.35862713657176</v>
      </c>
    </row>
    <row r="1230" spans="1:15" x14ac:dyDescent="0.2">
      <c r="A1230">
        <v>1228</v>
      </c>
      <c r="B1230" s="11">
        <f t="shared" si="78"/>
        <v>0</v>
      </c>
      <c r="C1230">
        <f ca="1">SUM($B$2:B1230)/A1230</f>
        <v>109.32500559660296</v>
      </c>
      <c r="E1230">
        <v>1228</v>
      </c>
      <c r="F1230" s="11">
        <f t="shared" si="79"/>
        <v>0</v>
      </c>
      <c r="G1230">
        <f ca="1">SUM($F$2:F1230)/E1230</f>
        <v>111.26794421545077</v>
      </c>
      <c r="I1230">
        <v>1228</v>
      </c>
      <c r="J1230">
        <f t="shared" si="80"/>
        <v>0</v>
      </c>
      <c r="K1230">
        <f ca="1">SUM($J$2:J1230)/I1230</f>
        <v>109.32500559660296</v>
      </c>
      <c r="M1230">
        <v>1228</v>
      </c>
      <c r="N1230">
        <f t="shared" si="81"/>
        <v>0</v>
      </c>
      <c r="O1230">
        <f ca="1">SUM($N$2:N1230)/M1230</f>
        <v>111.26794421545077</v>
      </c>
    </row>
    <row r="1231" spans="1:15" x14ac:dyDescent="0.2">
      <c r="A1231">
        <v>1229</v>
      </c>
      <c r="B1231" s="11">
        <f t="shared" si="78"/>
        <v>0</v>
      </c>
      <c r="C1231">
        <f ca="1">SUM($B$2:B1231)/A1231</f>
        <v>109.23605115754958</v>
      </c>
      <c r="E1231">
        <v>1229</v>
      </c>
      <c r="F1231" s="11">
        <f t="shared" si="79"/>
        <v>0</v>
      </c>
      <c r="G1231">
        <f ca="1">SUM($F$2:F1231)/E1231</f>
        <v>111.17740886621118</v>
      </c>
      <c r="I1231">
        <v>1229</v>
      </c>
      <c r="J1231">
        <f t="shared" si="80"/>
        <v>0</v>
      </c>
      <c r="K1231">
        <f ca="1">SUM($J$2:J1231)/I1231</f>
        <v>109.23605115754958</v>
      </c>
      <c r="M1231">
        <v>1229</v>
      </c>
      <c r="N1231">
        <f t="shared" si="81"/>
        <v>0</v>
      </c>
      <c r="O1231">
        <f ca="1">SUM($N$2:N1231)/M1231</f>
        <v>111.17740886621118</v>
      </c>
    </row>
    <row r="1232" spans="1:15" x14ac:dyDescent="0.2">
      <c r="A1232">
        <v>1230</v>
      </c>
      <c r="B1232" s="11">
        <f t="shared" si="78"/>
        <v>0</v>
      </c>
      <c r="C1232">
        <f ca="1">SUM($B$2:B1232)/A1232</f>
        <v>109.14724135986052</v>
      </c>
      <c r="E1232">
        <v>1230</v>
      </c>
      <c r="F1232" s="11">
        <f t="shared" si="79"/>
        <v>0</v>
      </c>
      <c r="G1232">
        <f ca="1">SUM($F$2:F1232)/E1232</f>
        <v>111.08702072892159</v>
      </c>
      <c r="I1232">
        <v>1230</v>
      </c>
      <c r="J1232">
        <f t="shared" si="80"/>
        <v>0</v>
      </c>
      <c r="K1232">
        <f ca="1">SUM($J$2:J1232)/I1232</f>
        <v>109.14724135986052</v>
      </c>
      <c r="M1232">
        <v>1230</v>
      </c>
      <c r="N1232">
        <f t="shared" si="81"/>
        <v>0</v>
      </c>
      <c r="O1232">
        <f ca="1">SUM($N$2:N1232)/M1232</f>
        <v>111.08702072892159</v>
      </c>
    </row>
    <row r="1233" spans="1:15" x14ac:dyDescent="0.2">
      <c r="A1233">
        <v>1231</v>
      </c>
      <c r="B1233" s="11">
        <f t="shared" si="78"/>
        <v>0</v>
      </c>
      <c r="C1233">
        <f ca="1">SUM($B$2:B1233)/A1233</f>
        <v>109.05857585103854</v>
      </c>
      <c r="E1233">
        <v>1231</v>
      </c>
      <c r="F1233" s="11">
        <f t="shared" si="79"/>
        <v>0</v>
      </c>
      <c r="G1233">
        <f ca="1">SUM($F$2:F1233)/E1233</f>
        <v>110.99677944482011</v>
      </c>
      <c r="I1233">
        <v>1231</v>
      </c>
      <c r="J1233">
        <f t="shared" si="80"/>
        <v>0</v>
      </c>
      <c r="K1233">
        <f ca="1">SUM($J$2:J1233)/I1233</f>
        <v>109.05857585103854</v>
      </c>
      <c r="M1233">
        <v>1231</v>
      </c>
      <c r="N1233">
        <f t="shared" si="81"/>
        <v>0</v>
      </c>
      <c r="O1233">
        <f ca="1">SUM($N$2:N1233)/M1233</f>
        <v>110.99677944482011</v>
      </c>
    </row>
    <row r="1234" spans="1:15" x14ac:dyDescent="0.2">
      <c r="A1234">
        <v>1232</v>
      </c>
      <c r="B1234" s="11">
        <f t="shared" si="78"/>
        <v>0</v>
      </c>
      <c r="C1234">
        <f ca="1">SUM($B$2:B1234)/A1234</f>
        <v>108.97005427973087</v>
      </c>
      <c r="E1234">
        <v>1232</v>
      </c>
      <c r="F1234" s="11">
        <f t="shared" si="79"/>
        <v>0</v>
      </c>
      <c r="G1234">
        <f ca="1">SUM($F$2:F1234)/E1234</f>
        <v>110.90668465630969</v>
      </c>
      <c r="I1234">
        <v>1232</v>
      </c>
      <c r="J1234">
        <f t="shared" si="80"/>
        <v>0</v>
      </c>
      <c r="K1234">
        <f ca="1">SUM($J$2:J1234)/I1234</f>
        <v>108.97005427973087</v>
      </c>
      <c r="M1234">
        <v>1232</v>
      </c>
      <c r="N1234">
        <f t="shared" si="81"/>
        <v>0</v>
      </c>
      <c r="O1234">
        <f ca="1">SUM($N$2:N1234)/M1234</f>
        <v>110.90668465630969</v>
      </c>
    </row>
    <row r="1235" spans="1:15" x14ac:dyDescent="0.2">
      <c r="A1235">
        <v>1233</v>
      </c>
      <c r="B1235" s="11">
        <f t="shared" si="78"/>
        <v>0</v>
      </c>
      <c r="C1235">
        <f ca="1">SUM($B$2:B1235)/A1235</f>
        <v>108.8816762957246</v>
      </c>
      <c r="E1235">
        <v>1233</v>
      </c>
      <c r="F1235" s="11">
        <f t="shared" si="79"/>
        <v>0</v>
      </c>
      <c r="G1235">
        <f ca="1">SUM($F$2:F1235)/E1235</f>
        <v>110.81673600695341</v>
      </c>
      <c r="I1235">
        <v>1233</v>
      </c>
      <c r="J1235">
        <f t="shared" si="80"/>
        <v>0</v>
      </c>
      <c r="K1235">
        <f ca="1">SUM($J$2:J1235)/I1235</f>
        <v>108.8816762957246</v>
      </c>
      <c r="M1235">
        <v>1233</v>
      </c>
      <c r="N1235">
        <f t="shared" si="81"/>
        <v>0</v>
      </c>
      <c r="O1235">
        <f ca="1">SUM($N$2:N1235)/M1235</f>
        <v>110.81673600695341</v>
      </c>
    </row>
    <row r="1236" spans="1:15" x14ac:dyDescent="0.2">
      <c r="A1236">
        <v>1234</v>
      </c>
      <c r="B1236" s="11">
        <f t="shared" si="78"/>
        <v>0</v>
      </c>
      <c r="C1236">
        <f ca="1">SUM($B$2:B1236)/A1236</f>
        <v>108.79344154994202</v>
      </c>
      <c r="E1236">
        <v>1234</v>
      </c>
      <c r="F1236" s="11">
        <f t="shared" si="79"/>
        <v>0</v>
      </c>
      <c r="G1236">
        <f ca="1">SUM($F$2:F1236)/E1236</f>
        <v>110.72693314146964</v>
      </c>
      <c r="I1236">
        <v>1234</v>
      </c>
      <c r="J1236">
        <f t="shared" si="80"/>
        <v>0</v>
      </c>
      <c r="K1236">
        <f ca="1">SUM($J$2:J1236)/I1236</f>
        <v>108.79344154994202</v>
      </c>
      <c r="M1236">
        <v>1234</v>
      </c>
      <c r="N1236">
        <f t="shared" si="81"/>
        <v>0</v>
      </c>
      <c r="O1236">
        <f ca="1">SUM($N$2:N1236)/M1236</f>
        <v>110.72693314146964</v>
      </c>
    </row>
    <row r="1237" spans="1:15" x14ac:dyDescent="0.2">
      <c r="A1237">
        <v>1235</v>
      </c>
      <c r="B1237" s="11">
        <f t="shared" si="78"/>
        <v>0</v>
      </c>
      <c r="C1237">
        <f ca="1">SUM($B$2:B1237)/A1237</f>
        <v>108.70534969443598</v>
      </c>
      <c r="E1237">
        <v>1235</v>
      </c>
      <c r="F1237" s="11">
        <f t="shared" si="79"/>
        <v>0</v>
      </c>
      <c r="G1237">
        <f ca="1">SUM($F$2:F1237)/E1237</f>
        <v>110.63727570572756</v>
      </c>
      <c r="I1237">
        <v>1235</v>
      </c>
      <c r="J1237">
        <f t="shared" si="80"/>
        <v>0</v>
      </c>
      <c r="K1237">
        <f ca="1">SUM($J$2:J1237)/I1237</f>
        <v>108.70534969443598</v>
      </c>
      <c r="M1237">
        <v>1235</v>
      </c>
      <c r="N1237">
        <f t="shared" si="81"/>
        <v>0</v>
      </c>
      <c r="O1237">
        <f ca="1">SUM($N$2:N1237)/M1237</f>
        <v>110.63727570572756</v>
      </c>
    </row>
    <row r="1238" spans="1:15" x14ac:dyDescent="0.2">
      <c r="A1238">
        <v>1236</v>
      </c>
      <c r="B1238" s="11">
        <f t="shared" si="78"/>
        <v>0</v>
      </c>
      <c r="C1238">
        <f ca="1">SUM($B$2:B1238)/A1238</f>
        <v>108.61740038238547</v>
      </c>
      <c r="E1238">
        <v>1236</v>
      </c>
      <c r="F1238" s="11">
        <f t="shared" si="79"/>
        <v>0</v>
      </c>
      <c r="G1238">
        <f ca="1">SUM($F$2:F1238)/E1238</f>
        <v>110.54776334674236</v>
      </c>
      <c r="I1238">
        <v>1236</v>
      </c>
      <c r="J1238">
        <f t="shared" si="80"/>
        <v>0</v>
      </c>
      <c r="K1238">
        <f ca="1">SUM($J$2:J1238)/I1238</f>
        <v>108.61740038238547</v>
      </c>
      <c r="M1238">
        <v>1236</v>
      </c>
      <c r="N1238">
        <f t="shared" si="81"/>
        <v>0</v>
      </c>
      <c r="O1238">
        <f ca="1">SUM($N$2:N1238)/M1238</f>
        <v>110.54776334674236</v>
      </c>
    </row>
    <row r="1239" spans="1:15" x14ac:dyDescent="0.2">
      <c r="A1239">
        <v>1237</v>
      </c>
      <c r="B1239" s="11">
        <f t="shared" si="78"/>
        <v>0</v>
      </c>
      <c r="C1239">
        <f ca="1">SUM($B$2:B1239)/A1239</f>
        <v>108.52959326809091</v>
      </c>
      <c r="E1239">
        <v>1237</v>
      </c>
      <c r="F1239" s="11">
        <f t="shared" si="79"/>
        <v>0</v>
      </c>
      <c r="G1239">
        <f ca="1">SUM($F$2:F1239)/E1239</f>
        <v>110.45839571267061</v>
      </c>
      <c r="I1239">
        <v>1237</v>
      </c>
      <c r="J1239">
        <f t="shared" si="80"/>
        <v>0</v>
      </c>
      <c r="K1239">
        <f ca="1">SUM($J$2:J1239)/I1239</f>
        <v>108.52959326809091</v>
      </c>
      <c r="M1239">
        <v>1237</v>
      </c>
      <c r="N1239">
        <f t="shared" si="81"/>
        <v>0</v>
      </c>
      <c r="O1239">
        <f ca="1">SUM($N$2:N1239)/M1239</f>
        <v>110.45839571267061</v>
      </c>
    </row>
    <row r="1240" spans="1:15" x14ac:dyDescent="0.2">
      <c r="A1240">
        <v>1238</v>
      </c>
      <c r="B1240" s="11">
        <f t="shared" si="78"/>
        <v>0</v>
      </c>
      <c r="C1240">
        <f ca="1">SUM($B$2:B1240)/A1240</f>
        <v>108.44192800696966</v>
      </c>
      <c r="E1240">
        <v>1238</v>
      </c>
      <c r="F1240" s="11">
        <f t="shared" si="79"/>
        <v>0</v>
      </c>
      <c r="G1240">
        <f ca="1">SUM($F$2:F1240)/E1240</f>
        <v>110.36917245280577</v>
      </c>
      <c r="I1240">
        <v>1238</v>
      </c>
      <c r="J1240">
        <f t="shared" si="80"/>
        <v>0</v>
      </c>
      <c r="K1240">
        <f ca="1">SUM($J$2:J1240)/I1240</f>
        <v>108.44192800696966</v>
      </c>
      <c r="M1240">
        <v>1238</v>
      </c>
      <c r="N1240">
        <f t="shared" si="81"/>
        <v>0</v>
      </c>
      <c r="O1240">
        <f ca="1">SUM($N$2:N1240)/M1240</f>
        <v>110.36917245280577</v>
      </c>
    </row>
    <row r="1241" spans="1:15" x14ac:dyDescent="0.2">
      <c r="A1241">
        <v>1239</v>
      </c>
      <c r="B1241" s="11">
        <f t="shared" si="78"/>
        <v>0</v>
      </c>
      <c r="C1241">
        <f ca="1">SUM($B$2:B1241)/A1241</f>
        <v>108.35440425555161</v>
      </c>
      <c r="E1241">
        <v>1239</v>
      </c>
      <c r="F1241" s="11">
        <f t="shared" si="79"/>
        <v>0</v>
      </c>
      <c r="G1241">
        <f ca="1">SUM($F$2:F1241)/E1241</f>
        <v>110.28009321757348</v>
      </c>
      <c r="I1241">
        <v>1239</v>
      </c>
      <c r="J1241">
        <f t="shared" si="80"/>
        <v>0</v>
      </c>
      <c r="K1241">
        <f ca="1">SUM($J$2:J1241)/I1241</f>
        <v>108.35440425555161</v>
      </c>
      <c r="M1241">
        <v>1239</v>
      </c>
      <c r="N1241">
        <f t="shared" si="81"/>
        <v>0</v>
      </c>
      <c r="O1241">
        <f ca="1">SUM($N$2:N1241)/M1241</f>
        <v>110.28009321757348</v>
      </c>
    </row>
    <row r="1242" spans="1:15" x14ac:dyDescent="0.2">
      <c r="A1242">
        <v>1240</v>
      </c>
      <c r="B1242" s="11">
        <f t="shared" si="78"/>
        <v>0</v>
      </c>
      <c r="C1242">
        <f ca="1">SUM($B$2:B1242)/A1242</f>
        <v>108.26702167147455</v>
      </c>
      <c r="E1242">
        <v>1240</v>
      </c>
      <c r="F1242" s="11">
        <f t="shared" si="79"/>
        <v>0</v>
      </c>
      <c r="G1242">
        <f ca="1">SUM($F$2:F1242)/E1242</f>
        <v>110.19115765852705</v>
      </c>
      <c r="I1242">
        <v>1240</v>
      </c>
      <c r="J1242">
        <f t="shared" si="80"/>
        <v>0</v>
      </c>
      <c r="K1242">
        <f ca="1">SUM($J$2:J1242)/I1242</f>
        <v>108.26702167147455</v>
      </c>
      <c r="M1242">
        <v>1240</v>
      </c>
      <c r="N1242">
        <f t="shared" si="81"/>
        <v>0</v>
      </c>
      <c r="O1242">
        <f ca="1">SUM($N$2:N1242)/M1242</f>
        <v>110.19115765852705</v>
      </c>
    </row>
    <row r="1243" spans="1:15" x14ac:dyDescent="0.2">
      <c r="A1243">
        <v>1241</v>
      </c>
      <c r="B1243" s="11">
        <f t="shared" si="78"/>
        <v>0</v>
      </c>
      <c r="C1243">
        <f ca="1">SUM($B$2:B1243)/A1243</f>
        <v>108.17977991347981</v>
      </c>
      <c r="E1243">
        <v>1241</v>
      </c>
      <c r="F1243" s="11">
        <f t="shared" si="79"/>
        <v>0</v>
      </c>
      <c r="G1243">
        <f ca="1">SUM($F$2:F1243)/E1243</f>
        <v>110.10236542834291</v>
      </c>
      <c r="I1243">
        <v>1241</v>
      </c>
      <c r="J1243">
        <f t="shared" si="80"/>
        <v>0</v>
      </c>
      <c r="K1243">
        <f ca="1">SUM($J$2:J1243)/I1243</f>
        <v>108.17977991347981</v>
      </c>
      <c r="M1243">
        <v>1241</v>
      </c>
      <c r="N1243">
        <f t="shared" si="81"/>
        <v>0</v>
      </c>
      <c r="O1243">
        <f ca="1">SUM($N$2:N1243)/M1243</f>
        <v>110.10236542834291</v>
      </c>
    </row>
    <row r="1244" spans="1:15" x14ac:dyDescent="0.2">
      <c r="A1244">
        <v>1242</v>
      </c>
      <c r="B1244" s="11">
        <f t="shared" si="78"/>
        <v>0</v>
      </c>
      <c r="C1244">
        <f ca="1">SUM($B$2:B1244)/A1244</f>
        <v>108.09267864140776</v>
      </c>
      <c r="E1244">
        <v>1242</v>
      </c>
      <c r="F1244" s="11">
        <f t="shared" si="79"/>
        <v>0</v>
      </c>
      <c r="G1244">
        <f ca="1">SUM($F$2:F1244)/E1244</f>
        <v>110.01371618081606</v>
      </c>
      <c r="I1244">
        <v>1242</v>
      </c>
      <c r="J1244">
        <f t="shared" si="80"/>
        <v>0</v>
      </c>
      <c r="K1244">
        <f ca="1">SUM($J$2:J1244)/I1244</f>
        <v>108.09267864140776</v>
      </c>
      <c r="M1244">
        <v>1242</v>
      </c>
      <c r="N1244">
        <f t="shared" si="81"/>
        <v>0</v>
      </c>
      <c r="O1244">
        <f ca="1">SUM($N$2:N1244)/M1244</f>
        <v>110.01371618081606</v>
      </c>
    </row>
    <row r="1245" spans="1:15" x14ac:dyDescent="0.2">
      <c r="A1245">
        <v>1243</v>
      </c>
      <c r="B1245" s="11">
        <f t="shared" si="78"/>
        <v>0</v>
      </c>
      <c r="C1245">
        <f ca="1">SUM($B$2:B1245)/A1245</f>
        <v>108.00571751619344</v>
      </c>
      <c r="E1245">
        <v>1243</v>
      </c>
      <c r="F1245" s="11">
        <f t="shared" si="79"/>
        <v>0</v>
      </c>
      <c r="G1245">
        <f ca="1">SUM($F$2:F1245)/E1245</f>
        <v>109.92520957085563</v>
      </c>
      <c r="I1245">
        <v>1243</v>
      </c>
      <c r="J1245">
        <f t="shared" si="80"/>
        <v>0</v>
      </c>
      <c r="K1245">
        <f ca="1">SUM($J$2:J1245)/I1245</f>
        <v>108.00571751619344</v>
      </c>
      <c r="M1245">
        <v>1243</v>
      </c>
      <c r="N1245">
        <f t="shared" si="81"/>
        <v>0</v>
      </c>
      <c r="O1245">
        <f ca="1">SUM($N$2:N1245)/M1245</f>
        <v>109.92520957085563</v>
      </c>
    </row>
    <row r="1246" spans="1:15" x14ac:dyDescent="0.2">
      <c r="A1246">
        <v>1244</v>
      </c>
      <c r="B1246" s="11">
        <f t="shared" si="78"/>
        <v>0</v>
      </c>
      <c r="C1246">
        <f ca="1">SUM($B$2:B1246)/A1246</f>
        <v>107.91889619986209</v>
      </c>
      <c r="E1246">
        <v>1244</v>
      </c>
      <c r="F1246" s="11">
        <f t="shared" si="79"/>
        <v>0</v>
      </c>
      <c r="G1246">
        <f ca="1">SUM($F$2:F1246)/E1246</f>
        <v>109.83684525448034</v>
      </c>
      <c r="I1246">
        <v>1244</v>
      </c>
      <c r="J1246">
        <f t="shared" si="80"/>
        <v>0</v>
      </c>
      <c r="K1246">
        <f ca="1">SUM($J$2:J1246)/I1246</f>
        <v>107.91889619986209</v>
      </c>
      <c r="M1246">
        <v>1244</v>
      </c>
      <c r="N1246">
        <f t="shared" si="81"/>
        <v>0</v>
      </c>
      <c r="O1246">
        <f ca="1">SUM($N$2:N1246)/M1246</f>
        <v>109.83684525448034</v>
      </c>
    </row>
    <row r="1247" spans="1:15" x14ac:dyDescent="0.2">
      <c r="A1247">
        <v>1245</v>
      </c>
      <c r="B1247" s="11">
        <f t="shared" si="78"/>
        <v>0</v>
      </c>
      <c r="C1247">
        <f ca="1">SUM($B$2:B1247)/A1247</f>
        <v>107.83221435552485</v>
      </c>
      <c r="E1247">
        <v>1245</v>
      </c>
      <c r="F1247" s="11">
        <f t="shared" si="79"/>
        <v>0</v>
      </c>
      <c r="G1247">
        <f ca="1">SUM($F$2:F1247)/E1247</f>
        <v>109.7486228888141</v>
      </c>
      <c r="I1247">
        <v>1245</v>
      </c>
      <c r="J1247">
        <f t="shared" si="80"/>
        <v>0</v>
      </c>
      <c r="K1247">
        <f ca="1">SUM($J$2:J1247)/I1247</f>
        <v>107.83221435552485</v>
      </c>
      <c r="M1247">
        <v>1245</v>
      </c>
      <c r="N1247">
        <f t="shared" si="81"/>
        <v>0</v>
      </c>
      <c r="O1247">
        <f ca="1">SUM($N$2:N1247)/M1247</f>
        <v>109.7486228888141</v>
      </c>
    </row>
    <row r="1248" spans="1:15" x14ac:dyDescent="0.2">
      <c r="A1248">
        <v>1246</v>
      </c>
      <c r="B1248" s="11">
        <f t="shared" si="78"/>
        <v>0</v>
      </c>
      <c r="C1248">
        <f ca="1">SUM($B$2:B1248)/A1248</f>
        <v>107.74567164737435</v>
      </c>
      <c r="E1248">
        <v>1246</v>
      </c>
      <c r="F1248" s="11">
        <f t="shared" si="79"/>
        <v>0</v>
      </c>
      <c r="G1248">
        <f ca="1">SUM($F$2:F1248)/E1248</f>
        <v>109.6605421320815</v>
      </c>
      <c r="I1248">
        <v>1246</v>
      </c>
      <c r="J1248">
        <f t="shared" si="80"/>
        <v>0</v>
      </c>
      <c r="K1248">
        <f ca="1">SUM($J$2:J1248)/I1248</f>
        <v>107.74567164737435</v>
      </c>
      <c r="M1248">
        <v>1246</v>
      </c>
      <c r="N1248">
        <f t="shared" si="81"/>
        <v>0</v>
      </c>
      <c r="O1248">
        <f ca="1">SUM($N$2:N1248)/M1248</f>
        <v>109.6605421320815</v>
      </c>
    </row>
    <row r="1249" spans="1:15" x14ac:dyDescent="0.2">
      <c r="A1249">
        <v>1247</v>
      </c>
      <c r="B1249" s="11">
        <f t="shared" si="78"/>
        <v>0</v>
      </c>
      <c r="C1249">
        <f ca="1">SUM($B$2:B1249)/A1249</f>
        <v>107.65926774068039</v>
      </c>
      <c r="E1249">
        <v>1247</v>
      </c>
      <c r="F1249" s="11">
        <f t="shared" si="79"/>
        <v>0</v>
      </c>
      <c r="G1249">
        <f ca="1">SUM($F$2:F1249)/E1249</f>
        <v>109.57260264360349</v>
      </c>
      <c r="I1249">
        <v>1247</v>
      </c>
      <c r="J1249">
        <f t="shared" si="80"/>
        <v>0</v>
      </c>
      <c r="K1249">
        <f ca="1">SUM($J$2:J1249)/I1249</f>
        <v>107.65926774068039</v>
      </c>
      <c r="M1249">
        <v>1247</v>
      </c>
      <c r="N1249">
        <f t="shared" si="81"/>
        <v>0</v>
      </c>
      <c r="O1249">
        <f ca="1">SUM($N$2:N1249)/M1249</f>
        <v>109.57260264360349</v>
      </c>
    </row>
    <row r="1250" spans="1:15" x14ac:dyDescent="0.2">
      <c r="A1250">
        <v>1248</v>
      </c>
      <c r="B1250" s="11">
        <f t="shared" si="78"/>
        <v>0</v>
      </c>
      <c r="C1250">
        <f ca="1">SUM($B$2:B1250)/A1250</f>
        <v>107.57300230178561</v>
      </c>
      <c r="E1250">
        <v>1248</v>
      </c>
      <c r="F1250" s="11">
        <f t="shared" si="79"/>
        <v>0</v>
      </c>
      <c r="G1250">
        <f ca="1">SUM($F$2:F1250)/E1250</f>
        <v>109.48480408379291</v>
      </c>
      <c r="I1250">
        <v>1248</v>
      </c>
      <c r="J1250">
        <f t="shared" si="80"/>
        <v>0</v>
      </c>
      <c r="K1250">
        <f ca="1">SUM($J$2:J1250)/I1250</f>
        <v>107.57300230178561</v>
      </c>
      <c r="M1250">
        <v>1248</v>
      </c>
      <c r="N1250">
        <f t="shared" si="81"/>
        <v>0</v>
      </c>
      <c r="O1250">
        <f ca="1">SUM($N$2:N1250)/M1250</f>
        <v>109.48480408379291</v>
      </c>
    </row>
    <row r="1251" spans="1:15" x14ac:dyDescent="0.2">
      <c r="A1251">
        <v>1249</v>
      </c>
      <c r="B1251" s="11">
        <f t="shared" si="78"/>
        <v>0</v>
      </c>
      <c r="C1251">
        <f ca="1">SUM($B$2:B1251)/A1251</f>
        <v>107.48687499810123</v>
      </c>
      <c r="E1251">
        <v>1249</v>
      </c>
      <c r="F1251" s="11">
        <f t="shared" si="79"/>
        <v>0</v>
      </c>
      <c r="G1251">
        <f ca="1">SUM($F$2:F1251)/E1251</f>
        <v>109.39714611415016</v>
      </c>
      <c r="I1251">
        <v>1249</v>
      </c>
      <c r="J1251">
        <f t="shared" si="80"/>
        <v>0</v>
      </c>
      <c r="K1251">
        <f ca="1">SUM($J$2:J1251)/I1251</f>
        <v>107.48687499810123</v>
      </c>
      <c r="M1251">
        <v>1249</v>
      </c>
      <c r="N1251">
        <f t="shared" si="81"/>
        <v>0</v>
      </c>
      <c r="O1251">
        <f ca="1">SUM($N$2:N1251)/M1251</f>
        <v>109.39714611415016</v>
      </c>
    </row>
    <row r="1252" spans="1:15" x14ac:dyDescent="0.2">
      <c r="A1252">
        <v>1250</v>
      </c>
      <c r="B1252" s="11">
        <f t="shared" si="78"/>
        <v>0</v>
      </c>
      <c r="C1252">
        <f ca="1">SUM($B$2:B1252)/A1252</f>
        <v>107.40088549810275</v>
      </c>
      <c r="E1252">
        <v>1250</v>
      </c>
      <c r="F1252" s="11">
        <f t="shared" si="79"/>
        <v>0</v>
      </c>
      <c r="G1252">
        <f ca="1">SUM($F$2:F1252)/E1252</f>
        <v>109.30962839725883</v>
      </c>
      <c r="I1252">
        <v>1250</v>
      </c>
      <c r="J1252">
        <f t="shared" si="80"/>
        <v>0</v>
      </c>
      <c r="K1252">
        <f ca="1">SUM($J$2:J1252)/I1252</f>
        <v>107.40088549810275</v>
      </c>
      <c r="M1252">
        <v>1250</v>
      </c>
      <c r="N1252">
        <f t="shared" si="81"/>
        <v>0</v>
      </c>
      <c r="O1252">
        <f ca="1">SUM($N$2:N1252)/M1252</f>
        <v>109.30962839725883</v>
      </c>
    </row>
    <row r="1253" spans="1:15" x14ac:dyDescent="0.2">
      <c r="A1253">
        <v>1251</v>
      </c>
      <c r="B1253" s="11">
        <f t="shared" si="78"/>
        <v>0</v>
      </c>
      <c r="C1253">
        <f ca="1">SUM($B$2:B1253)/A1253</f>
        <v>107.31503347132569</v>
      </c>
      <c r="E1253">
        <v>1251</v>
      </c>
      <c r="F1253" s="11">
        <f t="shared" si="79"/>
        <v>0</v>
      </c>
      <c r="G1253">
        <f ca="1">SUM($F$2:F1253)/E1253</f>
        <v>109.22225059678141</v>
      </c>
      <c r="I1253">
        <v>1251</v>
      </c>
      <c r="J1253">
        <f t="shared" si="80"/>
        <v>0</v>
      </c>
      <c r="K1253">
        <f ca="1">SUM($J$2:J1253)/I1253</f>
        <v>107.31503347132569</v>
      </c>
      <c r="M1253">
        <v>1251</v>
      </c>
      <c r="N1253">
        <f t="shared" si="81"/>
        <v>0</v>
      </c>
      <c r="O1253">
        <f ca="1">SUM($N$2:N1253)/M1253</f>
        <v>109.22225059678141</v>
      </c>
    </row>
    <row r="1254" spans="1:15" x14ac:dyDescent="0.2">
      <c r="A1254">
        <v>1252</v>
      </c>
      <c r="B1254" s="11">
        <f t="shared" si="78"/>
        <v>0</v>
      </c>
      <c r="C1254">
        <f ca="1">SUM($B$2:B1254)/A1254</f>
        <v>107.22931858836138</v>
      </c>
      <c r="E1254">
        <v>1252</v>
      </c>
      <c r="F1254" s="11">
        <f t="shared" si="79"/>
        <v>0</v>
      </c>
      <c r="G1254">
        <f ca="1">SUM($F$2:F1254)/E1254</f>
        <v>109.13501237745491</v>
      </c>
      <c r="I1254">
        <v>1252</v>
      </c>
      <c r="J1254">
        <f t="shared" si="80"/>
        <v>0</v>
      </c>
      <c r="K1254">
        <f ca="1">SUM($J$2:J1254)/I1254</f>
        <v>107.22931858836138</v>
      </c>
      <c r="M1254">
        <v>1252</v>
      </c>
      <c r="N1254">
        <f t="shared" si="81"/>
        <v>0</v>
      </c>
      <c r="O1254">
        <f ca="1">SUM($N$2:N1254)/M1254</f>
        <v>109.13501237745491</v>
      </c>
    </row>
    <row r="1255" spans="1:15" x14ac:dyDescent="0.2">
      <c r="A1255">
        <v>1253</v>
      </c>
      <c r="B1255" s="11">
        <f t="shared" si="78"/>
        <v>0</v>
      </c>
      <c r="C1255">
        <f ca="1">SUM($B$2:B1255)/A1255</f>
        <v>107.1437405208527</v>
      </c>
      <c r="E1255">
        <v>1253</v>
      </c>
      <c r="F1255" s="11">
        <f t="shared" si="79"/>
        <v>0</v>
      </c>
      <c r="G1255">
        <f ca="1">SUM($F$2:F1255)/E1255</f>
        <v>109.04791340508663</v>
      </c>
      <c r="I1255">
        <v>1253</v>
      </c>
      <c r="J1255">
        <f t="shared" si="80"/>
        <v>0</v>
      </c>
      <c r="K1255">
        <f ca="1">SUM($J$2:J1255)/I1255</f>
        <v>107.1437405208527</v>
      </c>
      <c r="M1255">
        <v>1253</v>
      </c>
      <c r="N1255">
        <f t="shared" si="81"/>
        <v>0</v>
      </c>
      <c r="O1255">
        <f ca="1">SUM($N$2:N1255)/M1255</f>
        <v>109.04791340508663</v>
      </c>
    </row>
    <row r="1256" spans="1:15" x14ac:dyDescent="0.2">
      <c r="A1256">
        <v>1254</v>
      </c>
      <c r="B1256" s="11">
        <f t="shared" si="78"/>
        <v>0</v>
      </c>
      <c r="C1256">
        <f ca="1">SUM($B$2:B1256)/A1256</f>
        <v>107.05829894148998</v>
      </c>
      <c r="E1256">
        <v>1254</v>
      </c>
      <c r="F1256" s="11">
        <f t="shared" si="79"/>
        <v>0</v>
      </c>
      <c r="G1256">
        <f ca="1">SUM($F$2:F1256)/E1256</f>
        <v>108.96095334654987</v>
      </c>
      <c r="I1256">
        <v>1254</v>
      </c>
      <c r="J1256">
        <f t="shared" si="80"/>
        <v>0</v>
      </c>
      <c r="K1256">
        <f ca="1">SUM($J$2:J1256)/I1256</f>
        <v>107.05829894148998</v>
      </c>
      <c r="M1256">
        <v>1254</v>
      </c>
      <c r="N1256">
        <f t="shared" si="81"/>
        <v>0</v>
      </c>
      <c r="O1256">
        <f ca="1">SUM($N$2:N1256)/M1256</f>
        <v>108.96095334654987</v>
      </c>
    </row>
    <row r="1257" spans="1:15" x14ac:dyDescent="0.2">
      <c r="A1257">
        <v>1255</v>
      </c>
      <c r="B1257" s="11">
        <f t="shared" si="78"/>
        <v>0</v>
      </c>
      <c r="C1257">
        <f ca="1">SUM($B$2:B1257)/A1257</f>
        <v>106.97299352400672</v>
      </c>
      <c r="E1257">
        <v>1255</v>
      </c>
      <c r="F1257" s="11">
        <f t="shared" si="79"/>
        <v>0</v>
      </c>
      <c r="G1257">
        <f ca="1">SUM($F$2:F1257)/E1257</f>
        <v>108.87413186977972</v>
      </c>
      <c r="I1257">
        <v>1255</v>
      </c>
      <c r="J1257">
        <f t="shared" si="80"/>
        <v>0</v>
      </c>
      <c r="K1257">
        <f ca="1">SUM($J$2:J1257)/I1257</f>
        <v>106.97299352400672</v>
      </c>
      <c r="M1257">
        <v>1255</v>
      </c>
      <c r="N1257">
        <f t="shared" si="81"/>
        <v>0</v>
      </c>
      <c r="O1257">
        <f ca="1">SUM($N$2:N1257)/M1257</f>
        <v>108.87413186977972</v>
      </c>
    </row>
    <row r="1258" spans="1:15" x14ac:dyDescent="0.2">
      <c r="A1258">
        <v>1256</v>
      </c>
      <c r="B1258" s="11">
        <f t="shared" si="78"/>
        <v>0</v>
      </c>
      <c r="C1258">
        <f ca="1">SUM($B$2:B1258)/A1258</f>
        <v>106.8878239431755</v>
      </c>
      <c r="E1258">
        <v>1256</v>
      </c>
      <c r="F1258" s="11">
        <f t="shared" si="79"/>
        <v>0</v>
      </c>
      <c r="G1258">
        <f ca="1">SUM($F$2:F1258)/E1258</f>
        <v>108.78744864376874</v>
      </c>
      <c r="I1258">
        <v>1256</v>
      </c>
      <c r="J1258">
        <f t="shared" si="80"/>
        <v>0</v>
      </c>
      <c r="K1258">
        <f ca="1">SUM($J$2:J1258)/I1258</f>
        <v>106.8878239431755</v>
      </c>
      <c r="M1258">
        <v>1256</v>
      </c>
      <c r="N1258">
        <f t="shared" si="81"/>
        <v>0</v>
      </c>
      <c r="O1258">
        <f ca="1">SUM($N$2:N1258)/M1258</f>
        <v>108.78744864376874</v>
      </c>
    </row>
    <row r="1259" spans="1:15" x14ac:dyDescent="0.2">
      <c r="A1259">
        <v>1257</v>
      </c>
      <c r="B1259" s="11">
        <f t="shared" si="78"/>
        <v>0</v>
      </c>
      <c r="C1259">
        <f ca="1">SUM($B$2:B1259)/A1259</f>
        <v>106.80278987480385</v>
      </c>
      <c r="E1259">
        <v>1257</v>
      </c>
      <c r="F1259" s="11">
        <f t="shared" si="79"/>
        <v>0</v>
      </c>
      <c r="G1259">
        <f ca="1">SUM($F$2:F1259)/E1259</f>
        <v>108.70090333856288</v>
      </c>
      <c r="I1259">
        <v>1257</v>
      </c>
      <c r="J1259">
        <f t="shared" si="80"/>
        <v>0</v>
      </c>
      <c r="K1259">
        <f ca="1">SUM($J$2:J1259)/I1259</f>
        <v>106.80278987480385</v>
      </c>
      <c r="M1259">
        <v>1257</v>
      </c>
      <c r="N1259">
        <f t="shared" si="81"/>
        <v>0</v>
      </c>
      <c r="O1259">
        <f ca="1">SUM($N$2:N1259)/M1259</f>
        <v>108.70090333856288</v>
      </c>
    </row>
    <row r="1260" spans="1:15" x14ac:dyDescent="0.2">
      <c r="A1260">
        <v>1258</v>
      </c>
      <c r="B1260" s="11">
        <f t="shared" si="78"/>
        <v>0</v>
      </c>
      <c r="C1260">
        <f ca="1">SUM($B$2:B1260)/A1260</f>
        <v>106.71789099573009</v>
      </c>
      <c r="E1260">
        <v>1258</v>
      </c>
      <c r="F1260" s="11">
        <f t="shared" si="79"/>
        <v>0</v>
      </c>
      <c r="G1260">
        <f ca="1">SUM($F$2:F1260)/E1260</f>
        <v>108.61449562525719</v>
      </c>
      <c r="I1260">
        <v>1258</v>
      </c>
      <c r="J1260">
        <f t="shared" si="80"/>
        <v>0</v>
      </c>
      <c r="K1260">
        <f ca="1">SUM($J$2:J1260)/I1260</f>
        <v>106.71789099573009</v>
      </c>
      <c r="M1260">
        <v>1258</v>
      </c>
      <c r="N1260">
        <f t="shared" si="81"/>
        <v>0</v>
      </c>
      <c r="O1260">
        <f ca="1">SUM($N$2:N1260)/M1260</f>
        <v>108.61449562525719</v>
      </c>
    </row>
    <row r="1261" spans="1:15" x14ac:dyDescent="0.2">
      <c r="A1261">
        <v>1259</v>
      </c>
      <c r="B1261" s="11">
        <f t="shared" si="78"/>
        <v>0</v>
      </c>
      <c r="C1261">
        <f ca="1">SUM($B$2:B1261)/A1261</f>
        <v>106.63312698381925</v>
      </c>
      <c r="E1261">
        <v>1259</v>
      </c>
      <c r="F1261" s="11">
        <f t="shared" si="79"/>
        <v>0</v>
      </c>
      <c r="G1261">
        <f ca="1">SUM($F$2:F1261)/E1261</f>
        <v>108.52822517599169</v>
      </c>
      <c r="I1261">
        <v>1259</v>
      </c>
      <c r="J1261">
        <f t="shared" si="80"/>
        <v>0</v>
      </c>
      <c r="K1261">
        <f ca="1">SUM($J$2:J1261)/I1261</f>
        <v>106.63312698381925</v>
      </c>
      <c r="M1261">
        <v>1259</v>
      </c>
      <c r="N1261">
        <f t="shared" si="81"/>
        <v>0</v>
      </c>
      <c r="O1261">
        <f ca="1">SUM($N$2:N1261)/M1261</f>
        <v>108.52822517599169</v>
      </c>
    </row>
    <row r="1262" spans="1:15" x14ac:dyDescent="0.2">
      <c r="A1262">
        <v>1260</v>
      </c>
      <c r="B1262" s="11">
        <f t="shared" ca="1" si="78"/>
        <v>0</v>
      </c>
      <c r="C1262">
        <f ca="1">SUM($B$2:B1262)/A1262</f>
        <v>106.54849751795908</v>
      </c>
      <c r="E1262">
        <v>1260</v>
      </c>
      <c r="F1262" s="11">
        <f t="shared" ca="1" si="79"/>
        <v>0</v>
      </c>
      <c r="G1262">
        <f ca="1">SUM($F$2:F1262)/E1262</f>
        <v>108.44209166394725</v>
      </c>
      <c r="I1262">
        <v>1260</v>
      </c>
      <c r="J1262">
        <f t="shared" ca="1" si="80"/>
        <v>0</v>
      </c>
      <c r="K1262">
        <f ca="1">SUM($J$2:J1262)/I1262</f>
        <v>106.54849751795908</v>
      </c>
      <c r="M1262">
        <v>1260</v>
      </c>
      <c r="N1262">
        <f t="shared" ca="1" si="81"/>
        <v>0</v>
      </c>
      <c r="O1262">
        <f ca="1">SUM($N$2:N1262)/M1262</f>
        <v>108.44209166394725</v>
      </c>
    </row>
    <row r="1263" spans="1:15" x14ac:dyDescent="0.2">
      <c r="A1263">
        <v>1261</v>
      </c>
      <c r="B1263" s="11">
        <f t="shared" ca="1" si="78"/>
        <v>118.58197021550885</v>
      </c>
      <c r="C1263">
        <f ca="1">SUM($B$2:B1263)/A1263</f>
        <v>106.55804031946388</v>
      </c>
      <c r="E1263">
        <v>1261</v>
      </c>
      <c r="F1263" s="11">
        <f t="shared" ca="1" si="79"/>
        <v>142.35764995105063</v>
      </c>
      <c r="G1263">
        <f ca="1">SUM($F$2:F1263)/E1263</f>
        <v>108.46898742785454</v>
      </c>
      <c r="I1263">
        <v>1261</v>
      </c>
      <c r="J1263">
        <f t="shared" ca="1" si="80"/>
        <v>118.58197021550885</v>
      </c>
      <c r="K1263">
        <f ca="1">SUM($J$2:J1263)/I1263</f>
        <v>106.55804031946388</v>
      </c>
      <c r="M1263">
        <v>1261</v>
      </c>
      <c r="N1263">
        <f t="shared" ca="1" si="81"/>
        <v>142.35764995105063</v>
      </c>
      <c r="O1263">
        <f ca="1">SUM($N$2:N1263)/M1263</f>
        <v>108.46898742785454</v>
      </c>
    </row>
    <row r="1264" spans="1:15" x14ac:dyDescent="0.2">
      <c r="A1264">
        <v>1262</v>
      </c>
      <c r="B1264" s="11">
        <f t="shared" ca="1" si="78"/>
        <v>237.16394043101769</v>
      </c>
      <c r="C1264">
        <f ca="1">SUM($B$2:B1264)/A1264</f>
        <v>106.66153152398968</v>
      </c>
      <c r="E1264">
        <v>1262</v>
      </c>
      <c r="F1264" s="11">
        <f t="shared" ca="1" si="79"/>
        <v>284.71529990210126</v>
      </c>
      <c r="G1264">
        <f ca="1">SUM($F$2:F1264)/E1264</f>
        <v>108.60864377688327</v>
      </c>
      <c r="I1264">
        <v>1262</v>
      </c>
      <c r="J1264">
        <f t="shared" ca="1" si="80"/>
        <v>237.16394043101769</v>
      </c>
      <c r="K1264">
        <f ca="1">SUM($J$2:J1264)/I1264</f>
        <v>106.66153152398968</v>
      </c>
      <c r="M1264">
        <v>1262</v>
      </c>
      <c r="N1264">
        <f t="shared" ca="1" si="81"/>
        <v>284.71529990210126</v>
      </c>
      <c r="O1264">
        <f ca="1">SUM($N$2:N1264)/M1264</f>
        <v>108.60864377688327</v>
      </c>
    </row>
    <row r="1265" spans="1:15" x14ac:dyDescent="0.2">
      <c r="A1265">
        <v>1263</v>
      </c>
      <c r="B1265" s="11">
        <f t="shared" ca="1" si="78"/>
        <v>355.74591064652657</v>
      </c>
      <c r="C1265">
        <f ca="1">SUM($B$2:B1265)/A1265</f>
        <v>106.8587479761849</v>
      </c>
      <c r="E1265">
        <v>1263</v>
      </c>
      <c r="F1265" s="11">
        <f t="shared" ca="1" si="79"/>
        <v>427.0729498531519</v>
      </c>
      <c r="G1265">
        <f ca="1">SUM($F$2:F1265)/E1265</f>
        <v>108.86079287116377</v>
      </c>
      <c r="I1265">
        <v>1263</v>
      </c>
      <c r="J1265">
        <f t="shared" ca="1" si="80"/>
        <v>355.74591064652657</v>
      </c>
      <c r="K1265">
        <f ca="1">SUM($J$2:J1265)/I1265</f>
        <v>106.8587479761849</v>
      </c>
      <c r="M1265">
        <v>1263</v>
      </c>
      <c r="N1265">
        <f t="shared" ca="1" si="81"/>
        <v>427.0729498531519</v>
      </c>
      <c r="O1265">
        <f ca="1">SUM($N$2:N1265)/M1265</f>
        <v>108.86079287116377</v>
      </c>
    </row>
    <row r="1266" spans="1:15" x14ac:dyDescent="0.2">
      <c r="A1266">
        <v>1264</v>
      </c>
      <c r="B1266" s="11">
        <f t="shared" ca="1" si="78"/>
        <v>474.32788086203539</v>
      </c>
      <c r="C1266">
        <f ca="1">SUM($B$2:B1266)/A1266</f>
        <v>107.14946722688572</v>
      </c>
      <c r="E1266">
        <v>1264</v>
      </c>
      <c r="F1266" s="11">
        <f t="shared" ca="1" si="79"/>
        <v>569.43059980420253</v>
      </c>
      <c r="G1266">
        <f ca="1">SUM($F$2:F1266)/E1266</f>
        <v>109.22516771842092</v>
      </c>
      <c r="I1266">
        <v>1264</v>
      </c>
      <c r="J1266">
        <f t="shared" ca="1" si="80"/>
        <v>474.32788086203539</v>
      </c>
      <c r="K1266">
        <f ca="1">SUM($J$2:J1266)/I1266</f>
        <v>107.14946722688572</v>
      </c>
      <c r="M1266">
        <v>1264</v>
      </c>
      <c r="N1266">
        <f t="shared" ca="1" si="81"/>
        <v>569.43059980420253</v>
      </c>
      <c r="O1266">
        <f ca="1">SUM($N$2:N1266)/M1266</f>
        <v>109.22516771842092</v>
      </c>
    </row>
    <row r="1267" spans="1:15" x14ac:dyDescent="0.2">
      <c r="A1267">
        <v>1265</v>
      </c>
      <c r="B1267" s="11">
        <f t="shared" ca="1" si="78"/>
        <v>592.9098510775442</v>
      </c>
      <c r="C1267">
        <f ca="1">SUM($B$2:B1267)/A1267</f>
        <v>107.53346753032497</v>
      </c>
      <c r="E1267">
        <v>1265</v>
      </c>
      <c r="F1267" s="11">
        <f t="shared" ca="1" si="79"/>
        <v>696</v>
      </c>
      <c r="G1267">
        <f ca="1">SUM($F$2:F1267)/E1267</f>
        <v>109.6890213407779</v>
      </c>
      <c r="I1267">
        <v>1265</v>
      </c>
      <c r="J1267">
        <f t="shared" ca="1" si="80"/>
        <v>592.9098510775442</v>
      </c>
      <c r="K1267">
        <f ca="1">SUM($J$2:J1267)/I1267</f>
        <v>107.53346753032497</v>
      </c>
      <c r="M1267">
        <v>1265</v>
      </c>
      <c r="N1267">
        <f t="shared" ca="1" si="81"/>
        <v>696</v>
      </c>
      <c r="O1267">
        <f ca="1">SUM($N$2:N1267)/M1267</f>
        <v>109.6890213407779</v>
      </c>
    </row>
    <row r="1268" spans="1:15" x14ac:dyDescent="0.2">
      <c r="A1268">
        <v>1266</v>
      </c>
      <c r="B1268" s="11">
        <f t="shared" ca="1" si="78"/>
        <v>696</v>
      </c>
      <c r="C1268">
        <f ca="1">SUM($B$2:B1268)/A1268</f>
        <v>107.99829101568805</v>
      </c>
      <c r="E1268">
        <v>1266</v>
      </c>
      <c r="F1268" s="11">
        <f t="shared" ca="1" si="79"/>
        <v>696</v>
      </c>
      <c r="G1268">
        <f ca="1">SUM($F$2:F1268)/E1268</f>
        <v>110.15214217700162</v>
      </c>
      <c r="I1268">
        <v>1266</v>
      </c>
      <c r="J1268">
        <f t="shared" ca="1" si="80"/>
        <v>696</v>
      </c>
      <c r="K1268">
        <f ca="1">SUM($J$2:J1268)/I1268</f>
        <v>107.99829101568805</v>
      </c>
      <c r="M1268">
        <v>1266</v>
      </c>
      <c r="N1268">
        <f t="shared" ca="1" si="81"/>
        <v>696</v>
      </c>
      <c r="O1268">
        <f ca="1">SUM($N$2:N1268)/M1268</f>
        <v>110.15214217700162</v>
      </c>
    </row>
    <row r="1269" spans="1:15" x14ac:dyDescent="0.2">
      <c r="A1269">
        <v>1267</v>
      </c>
      <c r="B1269" s="11">
        <f t="shared" ca="1" si="78"/>
        <v>696</v>
      </c>
      <c r="C1269">
        <f ca="1">SUM($B$2:B1269)/A1269</f>
        <v>108.4623807623213</v>
      </c>
      <c r="E1269">
        <v>1267</v>
      </c>
      <c r="F1269" s="11">
        <f t="shared" ca="1" si="79"/>
        <v>696</v>
      </c>
      <c r="G1269">
        <f ca="1">SUM($F$2:F1269)/E1269</f>
        <v>110.61453196218157</v>
      </c>
      <c r="I1269">
        <v>1267</v>
      </c>
      <c r="J1269">
        <f t="shared" ca="1" si="80"/>
        <v>696</v>
      </c>
      <c r="K1269">
        <f ca="1">SUM($J$2:J1269)/I1269</f>
        <v>108.4623807623213</v>
      </c>
      <c r="M1269">
        <v>1267</v>
      </c>
      <c r="N1269">
        <f t="shared" ca="1" si="81"/>
        <v>696</v>
      </c>
      <c r="O1269">
        <f ca="1">SUM($N$2:N1269)/M1269</f>
        <v>110.61453196218157</v>
      </c>
    </row>
    <row r="1270" spans="1:15" x14ac:dyDescent="0.2">
      <c r="A1270">
        <v>1268</v>
      </c>
      <c r="B1270" s="11">
        <f t="shared" ca="1" si="78"/>
        <v>696</v>
      </c>
      <c r="C1270">
        <f ca="1">SUM($B$2:B1270)/A1270</f>
        <v>108.92573850619959</v>
      </c>
      <c r="E1270">
        <v>1268</v>
      </c>
      <c r="F1270" s="11">
        <f t="shared" ca="1" si="79"/>
        <v>696</v>
      </c>
      <c r="G1270">
        <f ca="1">SUM($F$2:F1270)/E1270</f>
        <v>111.07619242593378</v>
      </c>
      <c r="I1270">
        <v>1268</v>
      </c>
      <c r="J1270">
        <f t="shared" ca="1" si="80"/>
        <v>696</v>
      </c>
      <c r="K1270">
        <f ca="1">SUM($J$2:J1270)/I1270</f>
        <v>108.92573850619959</v>
      </c>
      <c r="M1270">
        <v>1268</v>
      </c>
      <c r="N1270">
        <f t="shared" ca="1" si="81"/>
        <v>696</v>
      </c>
      <c r="O1270">
        <f ca="1">SUM($N$2:N1270)/M1270</f>
        <v>111.07619242593378</v>
      </c>
    </row>
    <row r="1271" spans="1:15" x14ac:dyDescent="0.2">
      <c r="A1271">
        <v>1269</v>
      </c>
      <c r="B1271" s="11">
        <f t="shared" ca="1" si="78"/>
        <v>696</v>
      </c>
      <c r="C1271">
        <f ca="1">SUM($B$2:B1271)/A1271</f>
        <v>109.38836597782591</v>
      </c>
      <c r="E1271">
        <v>1269</v>
      </c>
      <c r="F1271" s="11">
        <f t="shared" ca="1" si="79"/>
        <v>696</v>
      </c>
      <c r="G1271">
        <f ca="1">SUM($F$2:F1271)/E1271</f>
        <v>111.53712529242242</v>
      </c>
      <c r="I1271">
        <v>1269</v>
      </c>
      <c r="J1271">
        <f t="shared" ca="1" si="80"/>
        <v>696</v>
      </c>
      <c r="K1271">
        <f ca="1">SUM($J$2:J1271)/I1271</f>
        <v>109.38836597782591</v>
      </c>
      <c r="M1271">
        <v>1269</v>
      </c>
      <c r="N1271">
        <f t="shared" ca="1" si="81"/>
        <v>696</v>
      </c>
      <c r="O1271">
        <f ca="1">SUM($N$2:N1271)/M1271</f>
        <v>111.53712529242242</v>
      </c>
    </row>
    <row r="1272" spans="1:15" x14ac:dyDescent="0.2">
      <c r="A1272">
        <v>1270</v>
      </c>
      <c r="B1272" s="11">
        <f t="shared" ca="1" si="78"/>
        <v>696</v>
      </c>
      <c r="C1272">
        <f ca="1">SUM($B$2:B1272)/A1272</f>
        <v>109.85026490225282</v>
      </c>
      <c r="E1272">
        <v>1270</v>
      </c>
      <c r="F1272" s="11">
        <f t="shared" ca="1" si="79"/>
        <v>696</v>
      </c>
      <c r="G1272">
        <f ca="1">SUM($F$2:F1272)/E1272</f>
        <v>111.99733228038114</v>
      </c>
      <c r="I1272">
        <v>1270</v>
      </c>
      <c r="J1272">
        <f t="shared" ca="1" si="80"/>
        <v>696</v>
      </c>
      <c r="K1272">
        <f ca="1">SUM($J$2:J1272)/I1272</f>
        <v>109.85026490225282</v>
      </c>
      <c r="M1272">
        <v>1270</v>
      </c>
      <c r="N1272">
        <f t="shared" ca="1" si="81"/>
        <v>696</v>
      </c>
      <c r="O1272">
        <f ca="1">SUM($N$2:N1272)/M1272</f>
        <v>111.99733228038114</v>
      </c>
    </row>
    <row r="1273" spans="1:15" x14ac:dyDescent="0.2">
      <c r="A1273">
        <v>1271</v>
      </c>
      <c r="B1273" s="11">
        <f t="shared" ca="1" si="78"/>
        <v>696</v>
      </c>
      <c r="C1273">
        <f ca="1">SUM($B$2:B1273)/A1273</f>
        <v>110.31143699910392</v>
      </c>
      <c r="E1273">
        <v>1271</v>
      </c>
      <c r="F1273" s="11">
        <f t="shared" ca="1" si="79"/>
        <v>696</v>
      </c>
      <c r="G1273">
        <f ca="1">SUM($F$2:F1273)/E1273</f>
        <v>112.45681510313457</v>
      </c>
      <c r="I1273">
        <v>1271</v>
      </c>
      <c r="J1273">
        <f t="shared" ca="1" si="80"/>
        <v>696</v>
      </c>
      <c r="K1273">
        <f ca="1">SUM($J$2:J1273)/I1273</f>
        <v>110.31143699910392</v>
      </c>
      <c r="M1273">
        <v>1271</v>
      </c>
      <c r="N1273">
        <f t="shared" ca="1" si="81"/>
        <v>696</v>
      </c>
      <c r="O1273">
        <f ca="1">SUM($N$2:N1273)/M1273</f>
        <v>112.45681510313457</v>
      </c>
    </row>
    <row r="1274" spans="1:15" x14ac:dyDescent="0.2">
      <c r="A1274">
        <v>1272</v>
      </c>
      <c r="B1274" s="11">
        <f t="shared" ca="1" si="78"/>
        <v>696</v>
      </c>
      <c r="C1274">
        <f ca="1">SUM($B$2:B1274)/A1274</f>
        <v>110.77188398259518</v>
      </c>
      <c r="E1274">
        <v>1272</v>
      </c>
      <c r="F1274" s="11">
        <f t="shared" ca="1" si="79"/>
        <v>696</v>
      </c>
      <c r="G1274">
        <f ca="1">SUM($F$2:F1274)/E1274</f>
        <v>112.91557546861954</v>
      </c>
      <c r="I1274">
        <v>1272</v>
      </c>
      <c r="J1274">
        <f t="shared" ca="1" si="80"/>
        <v>696</v>
      </c>
      <c r="K1274">
        <f ca="1">SUM($J$2:J1274)/I1274</f>
        <v>110.77188398259518</v>
      </c>
      <c r="M1274">
        <v>1272</v>
      </c>
      <c r="N1274">
        <f t="shared" ca="1" si="81"/>
        <v>696</v>
      </c>
      <c r="O1274">
        <f ca="1">SUM($N$2:N1274)/M1274</f>
        <v>112.91557546861954</v>
      </c>
    </row>
    <row r="1275" spans="1:15" x14ac:dyDescent="0.2">
      <c r="A1275">
        <v>1273</v>
      </c>
      <c r="B1275" s="11">
        <f t="shared" ca="1" si="78"/>
        <v>696</v>
      </c>
      <c r="C1275">
        <f ca="1">SUM($B$2:B1275)/A1275</f>
        <v>111.23160756155623</v>
      </c>
      <c r="E1275">
        <v>1273</v>
      </c>
      <c r="F1275" s="11">
        <f t="shared" ca="1" si="79"/>
        <v>696</v>
      </c>
      <c r="G1275">
        <f ca="1">SUM($F$2:F1275)/E1275</f>
        <v>113.37361507940616</v>
      </c>
      <c r="I1275">
        <v>1273</v>
      </c>
      <c r="J1275">
        <f t="shared" ca="1" si="80"/>
        <v>696</v>
      </c>
      <c r="K1275">
        <f ca="1">SUM($J$2:J1275)/I1275</f>
        <v>111.23160756155623</v>
      </c>
      <c r="M1275">
        <v>1273</v>
      </c>
      <c r="N1275">
        <f t="shared" ca="1" si="81"/>
        <v>696</v>
      </c>
      <c r="O1275">
        <f ca="1">SUM($N$2:N1275)/M1275</f>
        <v>113.37361507940616</v>
      </c>
    </row>
    <row r="1276" spans="1:15" x14ac:dyDescent="0.2">
      <c r="A1276">
        <v>1274</v>
      </c>
      <c r="B1276" s="11">
        <f t="shared" ca="1" si="78"/>
        <v>696</v>
      </c>
      <c r="C1276">
        <f ca="1">SUM($B$2:B1276)/A1276</f>
        <v>111.69060943945139</v>
      </c>
      <c r="E1276">
        <v>1274</v>
      </c>
      <c r="F1276" s="11">
        <f t="shared" ca="1" si="79"/>
        <v>696</v>
      </c>
      <c r="G1276">
        <f ca="1">SUM($F$2:F1276)/E1276</f>
        <v>113.83093563271903</v>
      </c>
      <c r="I1276">
        <v>1274</v>
      </c>
      <c r="J1276">
        <f t="shared" ca="1" si="80"/>
        <v>696</v>
      </c>
      <c r="K1276">
        <f ca="1">SUM($J$2:J1276)/I1276</f>
        <v>111.69060943945139</v>
      </c>
      <c r="M1276">
        <v>1274</v>
      </c>
      <c r="N1276">
        <f t="shared" ca="1" si="81"/>
        <v>696</v>
      </c>
      <c r="O1276">
        <f ca="1">SUM($N$2:N1276)/M1276</f>
        <v>113.83093563271903</v>
      </c>
    </row>
    <row r="1277" spans="1:15" x14ac:dyDescent="0.2">
      <c r="A1277">
        <v>1275</v>
      </c>
      <c r="B1277" s="11">
        <f t="shared" ca="1" si="78"/>
        <v>696</v>
      </c>
      <c r="C1277">
        <f ca="1">SUM($B$2:B1277)/A1277</f>
        <v>112.14889131440084</v>
      </c>
      <c r="E1277">
        <v>1275</v>
      </c>
      <c r="F1277" s="11">
        <f t="shared" ca="1" si="79"/>
        <v>696</v>
      </c>
      <c r="G1277">
        <f ca="1">SUM($F$2:F1277)/E1277</f>
        <v>114.28753882045807</v>
      </c>
      <c r="I1277">
        <v>1275</v>
      </c>
      <c r="J1277">
        <f t="shared" ca="1" si="80"/>
        <v>696</v>
      </c>
      <c r="K1277">
        <f ca="1">SUM($J$2:J1277)/I1277</f>
        <v>112.14889131440084</v>
      </c>
      <c r="M1277">
        <v>1275</v>
      </c>
      <c r="N1277">
        <f t="shared" ca="1" si="81"/>
        <v>696</v>
      </c>
      <c r="O1277">
        <f ca="1">SUM($N$2:N1277)/M1277</f>
        <v>114.28753882045807</v>
      </c>
    </row>
    <row r="1278" spans="1:15" x14ac:dyDescent="0.2">
      <c r="A1278">
        <v>1276</v>
      </c>
      <c r="B1278" s="11">
        <f t="shared" ca="1" si="78"/>
        <v>696</v>
      </c>
      <c r="C1278">
        <f ca="1">SUM($B$2:B1278)/A1278</f>
        <v>112.60645487920148</v>
      </c>
      <c r="E1278">
        <v>1276</v>
      </c>
      <c r="F1278" s="11">
        <f t="shared" ca="1" si="79"/>
        <v>696</v>
      </c>
      <c r="G1278">
        <f ca="1">SUM($F$2:F1278)/E1278</f>
        <v>114.74342632921947</v>
      </c>
      <c r="I1278">
        <v>1276</v>
      </c>
      <c r="J1278">
        <f t="shared" ca="1" si="80"/>
        <v>696</v>
      </c>
      <c r="K1278">
        <f ca="1">SUM($J$2:J1278)/I1278</f>
        <v>112.60645487920148</v>
      </c>
      <c r="M1278">
        <v>1276</v>
      </c>
      <c r="N1278">
        <f t="shared" ca="1" si="81"/>
        <v>696</v>
      </c>
      <c r="O1278">
        <f ca="1">SUM($N$2:N1278)/M1278</f>
        <v>114.74342632921947</v>
      </c>
    </row>
    <row r="1279" spans="1:15" x14ac:dyDescent="0.2">
      <c r="A1279">
        <v>1277</v>
      </c>
      <c r="B1279" s="11">
        <f t="shared" ca="1" si="78"/>
        <v>696</v>
      </c>
      <c r="C1279">
        <f ca="1">SUM($B$2:B1279)/A1279</f>
        <v>113.06330182134775</v>
      </c>
      <c r="E1279">
        <v>1277</v>
      </c>
      <c r="F1279" s="11">
        <f t="shared" ca="1" si="79"/>
        <v>696</v>
      </c>
      <c r="G1279">
        <f ca="1">SUM($F$2:F1279)/E1279</f>
        <v>115.1985998403164</v>
      </c>
      <c r="I1279">
        <v>1277</v>
      </c>
      <c r="J1279">
        <f t="shared" ca="1" si="80"/>
        <v>696</v>
      </c>
      <c r="K1279">
        <f ca="1">SUM($J$2:J1279)/I1279</f>
        <v>113.06330182134775</v>
      </c>
      <c r="M1279">
        <v>1277</v>
      </c>
      <c r="N1279">
        <f t="shared" ca="1" si="81"/>
        <v>696</v>
      </c>
      <c r="O1279">
        <f ca="1">SUM($N$2:N1279)/M1279</f>
        <v>115.1985998403164</v>
      </c>
    </row>
    <row r="1280" spans="1:15" x14ac:dyDescent="0.2">
      <c r="A1280">
        <v>1278</v>
      </c>
      <c r="B1280" s="11">
        <f t="shared" ca="1" si="78"/>
        <v>696</v>
      </c>
      <c r="C1280">
        <f ca="1">SUM($B$2:B1280)/A1280</f>
        <v>113.51943382305249</v>
      </c>
      <c r="E1280">
        <v>1278</v>
      </c>
      <c r="F1280" s="11">
        <f t="shared" ca="1" si="79"/>
        <v>696</v>
      </c>
      <c r="G1280">
        <f ca="1">SUM($F$2:F1280)/E1280</f>
        <v>115.65306102979972</v>
      </c>
      <c r="I1280">
        <v>1278</v>
      </c>
      <c r="J1280">
        <f t="shared" ca="1" si="80"/>
        <v>696</v>
      </c>
      <c r="K1280">
        <f ca="1">SUM($J$2:J1280)/I1280</f>
        <v>113.51943382305249</v>
      </c>
      <c r="M1280">
        <v>1278</v>
      </c>
      <c r="N1280">
        <f t="shared" ca="1" si="81"/>
        <v>696</v>
      </c>
      <c r="O1280">
        <f ca="1">SUM($N$2:N1280)/M1280</f>
        <v>115.65306102979972</v>
      </c>
    </row>
    <row r="1281" spans="1:15" x14ac:dyDescent="0.2">
      <c r="A1281">
        <v>1279</v>
      </c>
      <c r="B1281" s="11">
        <f t="shared" ca="1" si="78"/>
        <v>696</v>
      </c>
      <c r="C1281">
        <f ca="1">SUM($B$2:B1281)/A1281</f>
        <v>113.97485256126745</v>
      </c>
      <c r="E1281">
        <v>1279</v>
      </c>
      <c r="F1281" s="11">
        <f t="shared" ca="1" si="79"/>
        <v>696</v>
      </c>
      <c r="G1281">
        <f ca="1">SUM($F$2:F1281)/E1281</f>
        <v>116.10681156847853</v>
      </c>
      <c r="I1281">
        <v>1279</v>
      </c>
      <c r="J1281">
        <f t="shared" ca="1" si="80"/>
        <v>696</v>
      </c>
      <c r="K1281">
        <f ca="1">SUM($J$2:J1281)/I1281</f>
        <v>113.97485256126745</v>
      </c>
      <c r="M1281">
        <v>1279</v>
      </c>
      <c r="N1281">
        <f t="shared" ca="1" si="81"/>
        <v>696</v>
      </c>
      <c r="O1281">
        <f ca="1">SUM($N$2:N1281)/M1281</f>
        <v>116.10681156847853</v>
      </c>
    </row>
    <row r="1282" spans="1:15" x14ac:dyDescent="0.2">
      <c r="A1282">
        <v>1280</v>
      </c>
      <c r="B1282" s="11">
        <f t="shared" ca="1" si="78"/>
        <v>696</v>
      </c>
      <c r="C1282">
        <f ca="1">SUM($B$2:B1282)/A1282</f>
        <v>114.42955970770397</v>
      </c>
      <c r="E1282">
        <v>1280</v>
      </c>
      <c r="F1282" s="11">
        <f t="shared" ca="1" si="79"/>
        <v>696</v>
      </c>
      <c r="G1282">
        <f ca="1">SUM($F$2:F1282)/E1282</f>
        <v>116.55985312194066</v>
      </c>
      <c r="I1282">
        <v>1280</v>
      </c>
      <c r="J1282">
        <f t="shared" ca="1" si="80"/>
        <v>696</v>
      </c>
      <c r="K1282">
        <f ca="1">SUM($J$2:J1282)/I1282</f>
        <v>114.42955970770397</v>
      </c>
      <c r="M1282">
        <v>1280</v>
      </c>
      <c r="N1282">
        <f t="shared" ca="1" si="81"/>
        <v>696</v>
      </c>
      <c r="O1282">
        <f ca="1">SUM($N$2:N1282)/M1282</f>
        <v>116.55985312194066</v>
      </c>
    </row>
    <row r="1283" spans="1:15" x14ac:dyDescent="0.2">
      <c r="A1283">
        <v>1281</v>
      </c>
      <c r="B1283" s="11">
        <f t="shared" ref="B1283:B1346" ca="1" si="82">IF(ARCap-IF((A1283-IF(A1283/180&gt;1,ROUNDDOWN(A1283/180,0)*180,0))/30&lt;=1,IF(200*15*BaseSpeed/60*(YellowConnects+WhiteMHConnects+WhiteOHConnects+HoJConnects+WindfuryConnects+SSConnects+IronfoeConnects)*(A1283-180*ROUNDDOWN(A1283/180,0))&gt;1200,1200,200*15*BaseSpeed/60*(YellowConnects+WhiteMHConnects+WhiteOHConnects+HoJConnects+WindfuryConnects+SSConnects+IronfoeConnects)*(A1283-180*ROUNDDOWN(A1283/180,0))),0)&lt;0,ARCap,IF((A1283-IF(A1283/180&gt;1,ROUNDDOWN(A1282/180,0)*180,0))/30&lt;=1,IF(200*15*BaseSpeed/60*(YellowConnects+WhiteMHConnects+WhiteOHConnects+HoJConnects+WindfuryConnects+SSConnects+IronfoeConnects)*(A1283-180*ROUNDDOWN(A1283/180,0))&gt;1200,1200,200*15*BaseSpeed/60*(YellowConnects+WhiteMHConnects+WhiteOHConnects+HoJConnects+WindfuryConnects+SSConnects+IronfoeConnects)*(A1283-180*ROUNDDOWN(A1283/180,0))),0))</f>
        <v>696</v>
      </c>
      <c r="C1283">
        <f ca="1">SUM($B$2:B1283)/A1283</f>
        <v>114.88355692885331</v>
      </c>
      <c r="E1283">
        <v>1281</v>
      </c>
      <c r="F1283" s="11">
        <f t="shared" ref="F1283:F1346" ca="1" si="83">IF(ARCap-IF((A1283-IF(A1283/180&gt;1,ROUNDDOWN(A1283/180,0)*180,0))/30&lt;=1,IF(200*15*BaseSpeed/60*(YellowConnects20+WhiteMHConnects20+WhiteOHConnects20+HoJConnects20+WindfuryConnects20+SSConnects20+IronfoeConnects20)*(A1283-180*ROUNDDOWN(A1283/180,0))&gt;1200,1200,200*15*BaseSpeed/60*(YellowConnects20+WhiteMHConnects20+WhiteOHConnects20+HoJConnects20+WindfuryConnects20+SSConnects20+IronfoeConnects20)*(A1283-180*ROUNDDOWN(A1283/180,0))),0)&lt;0,ARCap,IF((A1283-IF(A1283/180&gt;1,ROUNDDOWN(A1283/180,0)*180,0))/30&lt;=1,IF(200*15*BaseSpeed/60*(YellowConnects20+WhiteMHConnects20+WhiteOHConnects20+HoJConnects20+WindfuryConnects20+SSConnects20+IronfoeConnects20)*(A1283-180*ROUNDDOWN(A1283/180,0))&gt;1200,1200,200*15*BaseSpeed/60*(YellowConnects20+WhiteMHConnects20+WhiteOHConnects20+HoJConnects20+WindfuryConnects20+SSConnects20+IronfoeConnects20)*(A1283-180*ROUNDDOWN(A1283/180,0))),0))</f>
        <v>696</v>
      </c>
      <c r="G1283">
        <f ca="1">SUM($F$2:F1283)/E1283</f>
        <v>117.01218735057303</v>
      </c>
      <c r="I1283">
        <v>1281</v>
      </c>
      <c r="J1283">
        <f t="shared" ref="J1283:J1346" ca="1" si="84">IF(ARCap-(B1283+BRE)&lt;0,ARCap,B1283+BRE)</f>
        <v>696</v>
      </c>
      <c r="K1283">
        <f ca="1">SUM($J$2:J1283)/I1283</f>
        <v>114.88355692885331</v>
      </c>
      <c r="M1283">
        <v>1281</v>
      </c>
      <c r="N1283">
        <f t="shared" ref="N1283:N1346" ca="1" si="85">IF(ARCap-(F1283+BREArmorReduction20)&lt;0,ARCap,F1283+BREArmorReduction20)</f>
        <v>696</v>
      </c>
      <c r="O1283">
        <f ca="1">SUM($N$2:N1283)/M1283</f>
        <v>117.01218735057303</v>
      </c>
    </row>
    <row r="1284" spans="1:15" x14ac:dyDescent="0.2">
      <c r="A1284">
        <v>1282</v>
      </c>
      <c r="B1284" s="11">
        <f t="shared" ca="1" si="82"/>
        <v>696</v>
      </c>
      <c r="C1284">
        <f ca="1">SUM($B$2:B1284)/A1284</f>
        <v>115.33684588600708</v>
      </c>
      <c r="E1284">
        <v>1282</v>
      </c>
      <c r="F1284" s="11">
        <f t="shared" ca="1" si="83"/>
        <v>696</v>
      </c>
      <c r="G1284">
        <f ca="1">SUM($F$2:F1284)/E1284</f>
        <v>117.46381590958194</v>
      </c>
      <c r="I1284">
        <v>1282</v>
      </c>
      <c r="J1284">
        <f t="shared" ca="1" si="84"/>
        <v>696</v>
      </c>
      <c r="K1284">
        <f ca="1">SUM($J$2:J1284)/I1284</f>
        <v>115.33684588600708</v>
      </c>
      <c r="M1284">
        <v>1282</v>
      </c>
      <c r="N1284">
        <f t="shared" ca="1" si="85"/>
        <v>696</v>
      </c>
      <c r="O1284">
        <f ca="1">SUM($N$2:N1284)/M1284</f>
        <v>117.46381590958194</v>
      </c>
    </row>
    <row r="1285" spans="1:15" x14ac:dyDescent="0.2">
      <c r="A1285">
        <v>1283</v>
      </c>
      <c r="B1285" s="11">
        <f t="shared" ca="1" si="82"/>
        <v>696</v>
      </c>
      <c r="C1285">
        <f ca="1">SUM($B$2:B1285)/A1285</f>
        <v>115.78942823527754</v>
      </c>
      <c r="E1285">
        <v>1283</v>
      </c>
      <c r="F1285" s="11">
        <f t="shared" ca="1" si="83"/>
        <v>696</v>
      </c>
      <c r="G1285">
        <f ca="1">SUM($F$2:F1285)/E1285</f>
        <v>117.91474044901328</v>
      </c>
      <c r="I1285">
        <v>1283</v>
      </c>
      <c r="J1285">
        <f t="shared" ca="1" si="84"/>
        <v>696</v>
      </c>
      <c r="K1285">
        <f ca="1">SUM($J$2:J1285)/I1285</f>
        <v>115.78942823527754</v>
      </c>
      <c r="M1285">
        <v>1283</v>
      </c>
      <c r="N1285">
        <f t="shared" ca="1" si="85"/>
        <v>696</v>
      </c>
      <c r="O1285">
        <f ca="1">SUM($N$2:N1285)/M1285</f>
        <v>117.91474044901328</v>
      </c>
    </row>
    <row r="1286" spans="1:15" x14ac:dyDescent="0.2">
      <c r="A1286">
        <v>1284</v>
      </c>
      <c r="B1286" s="11">
        <f t="shared" ca="1" si="82"/>
        <v>696</v>
      </c>
      <c r="C1286">
        <f ca="1">SUM($B$2:B1286)/A1286</f>
        <v>116.24130562761766</v>
      </c>
      <c r="E1286">
        <v>1284</v>
      </c>
      <c r="F1286" s="11">
        <f t="shared" ca="1" si="83"/>
        <v>696</v>
      </c>
      <c r="G1286">
        <f ca="1">SUM($F$2:F1286)/E1286</f>
        <v>118.36496261377262</v>
      </c>
      <c r="I1286">
        <v>1284</v>
      </c>
      <c r="J1286">
        <f t="shared" ca="1" si="84"/>
        <v>696</v>
      </c>
      <c r="K1286">
        <f ca="1">SUM($J$2:J1286)/I1286</f>
        <v>116.24130562761766</v>
      </c>
      <c r="M1286">
        <v>1284</v>
      </c>
      <c r="N1286">
        <f t="shared" ca="1" si="85"/>
        <v>696</v>
      </c>
      <c r="O1286">
        <f ca="1">SUM($N$2:N1286)/M1286</f>
        <v>118.36496261377262</v>
      </c>
    </row>
    <row r="1287" spans="1:15" x14ac:dyDescent="0.2">
      <c r="A1287">
        <v>1285</v>
      </c>
      <c r="B1287" s="11">
        <f t="shared" ca="1" si="82"/>
        <v>696</v>
      </c>
      <c r="C1287">
        <f ca="1">SUM($B$2:B1287)/A1287</f>
        <v>116.6924797088413</v>
      </c>
      <c r="E1287">
        <v>1285</v>
      </c>
      <c r="F1287" s="11">
        <f t="shared" ca="1" si="83"/>
        <v>696</v>
      </c>
      <c r="G1287">
        <f ca="1">SUM($F$2:F1287)/E1287</f>
        <v>118.81448404364517</v>
      </c>
      <c r="I1287">
        <v>1285</v>
      </c>
      <c r="J1287">
        <f t="shared" ca="1" si="84"/>
        <v>696</v>
      </c>
      <c r="K1287">
        <f ca="1">SUM($J$2:J1287)/I1287</f>
        <v>116.6924797088413</v>
      </c>
      <c r="M1287">
        <v>1285</v>
      </c>
      <c r="N1287">
        <f t="shared" ca="1" si="85"/>
        <v>696</v>
      </c>
      <c r="O1287">
        <f ca="1">SUM($N$2:N1287)/M1287</f>
        <v>118.81448404364517</v>
      </c>
    </row>
    <row r="1288" spans="1:15" x14ac:dyDescent="0.2">
      <c r="A1288">
        <v>1286</v>
      </c>
      <c r="B1288" s="11">
        <f t="shared" ca="1" si="82"/>
        <v>696</v>
      </c>
      <c r="C1288">
        <f ca="1">SUM($B$2:B1288)/A1288</f>
        <v>117.14295211964314</v>
      </c>
      <c r="E1288">
        <v>1286</v>
      </c>
      <c r="F1288" s="11">
        <f t="shared" ca="1" si="83"/>
        <v>696</v>
      </c>
      <c r="G1288">
        <f ca="1">SUM($F$2:F1288)/E1288</f>
        <v>119.26330637331574</v>
      </c>
      <c r="I1288">
        <v>1286</v>
      </c>
      <c r="J1288">
        <f t="shared" ca="1" si="84"/>
        <v>696</v>
      </c>
      <c r="K1288">
        <f ca="1">SUM($J$2:J1288)/I1288</f>
        <v>117.14295211964314</v>
      </c>
      <c r="M1288">
        <v>1286</v>
      </c>
      <c r="N1288">
        <f t="shared" ca="1" si="85"/>
        <v>696</v>
      </c>
      <c r="O1288">
        <f ca="1">SUM($N$2:N1288)/M1288</f>
        <v>119.26330637331574</v>
      </c>
    </row>
    <row r="1289" spans="1:15" x14ac:dyDescent="0.2">
      <c r="A1289">
        <v>1287</v>
      </c>
      <c r="B1289" s="11">
        <f t="shared" ca="1" si="82"/>
        <v>696</v>
      </c>
      <c r="C1289">
        <f ca="1">SUM($B$2:B1289)/A1289</f>
        <v>117.59272449561855</v>
      </c>
      <c r="E1289">
        <v>1287</v>
      </c>
      <c r="F1289" s="11">
        <f t="shared" ca="1" si="83"/>
        <v>696</v>
      </c>
      <c r="G1289">
        <f ca="1">SUM($F$2:F1289)/E1289</f>
        <v>119.71143123238853</v>
      </c>
      <c r="I1289">
        <v>1287</v>
      </c>
      <c r="J1289">
        <f t="shared" ca="1" si="84"/>
        <v>696</v>
      </c>
      <c r="K1289">
        <f ca="1">SUM($J$2:J1289)/I1289</f>
        <v>117.59272449561855</v>
      </c>
      <c r="M1289">
        <v>1287</v>
      </c>
      <c r="N1289">
        <f t="shared" ca="1" si="85"/>
        <v>696</v>
      </c>
      <c r="O1289">
        <f ca="1">SUM($N$2:N1289)/M1289</f>
        <v>119.71143123238853</v>
      </c>
    </row>
    <row r="1290" spans="1:15" x14ac:dyDescent="0.2">
      <c r="A1290">
        <v>1288</v>
      </c>
      <c r="B1290" s="11">
        <f t="shared" ca="1" si="82"/>
        <v>696</v>
      </c>
      <c r="C1290">
        <f ca="1">SUM($B$2:B1290)/A1290</f>
        <v>118.04179846728344</v>
      </c>
      <c r="E1290">
        <v>1288</v>
      </c>
      <c r="F1290" s="11">
        <f t="shared" ca="1" si="83"/>
        <v>696</v>
      </c>
      <c r="G1290">
        <f ca="1">SUM($F$2:F1290)/E1290</f>
        <v>120.15886024540687</v>
      </c>
      <c r="I1290">
        <v>1288</v>
      </c>
      <c r="J1290">
        <f t="shared" ca="1" si="84"/>
        <v>696</v>
      </c>
      <c r="K1290">
        <f ca="1">SUM($J$2:J1290)/I1290</f>
        <v>118.04179846728344</v>
      </c>
      <c r="M1290">
        <v>1288</v>
      </c>
      <c r="N1290">
        <f t="shared" ca="1" si="85"/>
        <v>696</v>
      </c>
      <c r="O1290">
        <f ca="1">SUM($N$2:N1290)/M1290</f>
        <v>120.15886024540687</v>
      </c>
    </row>
    <row r="1291" spans="1:15" x14ac:dyDescent="0.2">
      <c r="A1291">
        <v>1289</v>
      </c>
      <c r="B1291" s="11">
        <f t="shared" ca="1" si="82"/>
        <v>696</v>
      </c>
      <c r="C1291">
        <f ca="1">SUM($B$2:B1291)/A1291</f>
        <v>118.49017566009394</v>
      </c>
      <c r="E1291">
        <v>1289</v>
      </c>
      <c r="F1291" s="11">
        <f t="shared" ca="1" si="83"/>
        <v>696</v>
      </c>
      <c r="G1291">
        <f ca="1">SUM($F$2:F1291)/E1291</f>
        <v>120.60559503187281</v>
      </c>
      <c r="I1291">
        <v>1289</v>
      </c>
      <c r="J1291">
        <f t="shared" ca="1" si="84"/>
        <v>696</v>
      </c>
      <c r="K1291">
        <f ca="1">SUM($J$2:J1291)/I1291</f>
        <v>118.49017566009394</v>
      </c>
      <c r="M1291">
        <v>1289</v>
      </c>
      <c r="N1291">
        <f t="shared" ca="1" si="85"/>
        <v>696</v>
      </c>
      <c r="O1291">
        <f ca="1">SUM($N$2:N1291)/M1291</f>
        <v>120.60559503187281</v>
      </c>
    </row>
    <row r="1292" spans="1:15" x14ac:dyDescent="0.2">
      <c r="A1292">
        <v>1290</v>
      </c>
      <c r="B1292" s="11">
        <f t="shared" ca="1" si="82"/>
        <v>696</v>
      </c>
      <c r="C1292">
        <f ca="1">SUM($B$2:B1292)/A1292</f>
        <v>118.93785769446596</v>
      </c>
      <c r="E1292">
        <v>1290</v>
      </c>
      <c r="F1292" s="11">
        <f t="shared" ca="1" si="83"/>
        <v>696</v>
      </c>
      <c r="G1292">
        <f ca="1">SUM($F$2:F1292)/E1292</f>
        <v>121.0516372062667</v>
      </c>
      <c r="I1292">
        <v>1290</v>
      </c>
      <c r="J1292">
        <f t="shared" ca="1" si="84"/>
        <v>696</v>
      </c>
      <c r="K1292">
        <f ca="1">SUM($J$2:J1292)/I1292</f>
        <v>118.93785769446596</v>
      </c>
      <c r="M1292">
        <v>1290</v>
      </c>
      <c r="N1292">
        <f t="shared" ca="1" si="85"/>
        <v>696</v>
      </c>
      <c r="O1292">
        <f ca="1">SUM($N$2:N1292)/M1292</f>
        <v>121.0516372062667</v>
      </c>
    </row>
    <row r="1293" spans="1:15" x14ac:dyDescent="0.2">
      <c r="A1293">
        <v>1291</v>
      </c>
      <c r="B1293" s="11">
        <f t="shared" si="82"/>
        <v>0</v>
      </c>
      <c r="C1293">
        <f ca="1">SUM($B$2:B1293)/A1293</f>
        <v>118.84572922220069</v>
      </c>
      <c r="E1293">
        <v>1291</v>
      </c>
      <c r="F1293" s="11">
        <f t="shared" si="83"/>
        <v>0</v>
      </c>
      <c r="G1293">
        <f ca="1">SUM($F$2:F1293)/E1293</f>
        <v>120.95787141447254</v>
      </c>
      <c r="I1293">
        <v>1291</v>
      </c>
      <c r="J1293">
        <f t="shared" si="84"/>
        <v>0</v>
      </c>
      <c r="K1293">
        <f ca="1">SUM($J$2:J1293)/I1293</f>
        <v>118.84572922220069</v>
      </c>
      <c r="M1293">
        <v>1291</v>
      </c>
      <c r="N1293">
        <f t="shared" si="85"/>
        <v>0</v>
      </c>
      <c r="O1293">
        <f ca="1">SUM($N$2:N1293)/M1293</f>
        <v>120.95787141447254</v>
      </c>
    </row>
    <row r="1294" spans="1:15" x14ac:dyDescent="0.2">
      <c r="A1294">
        <v>1292</v>
      </c>
      <c r="B1294" s="11">
        <f t="shared" si="82"/>
        <v>0</v>
      </c>
      <c r="C1294">
        <f ca="1">SUM($B$2:B1294)/A1294</f>
        <v>118.75374336366957</v>
      </c>
      <c r="E1294">
        <v>1292</v>
      </c>
      <c r="F1294" s="11">
        <f t="shared" si="83"/>
        <v>0</v>
      </c>
      <c r="G1294">
        <f ca="1">SUM($F$2:F1294)/E1294</f>
        <v>120.86425077096288</v>
      </c>
      <c r="I1294">
        <v>1292</v>
      </c>
      <c r="J1294">
        <f t="shared" si="84"/>
        <v>0</v>
      </c>
      <c r="K1294">
        <f ca="1">SUM($J$2:J1294)/I1294</f>
        <v>118.75374336366957</v>
      </c>
      <c r="M1294">
        <v>1292</v>
      </c>
      <c r="N1294">
        <f t="shared" si="85"/>
        <v>0</v>
      </c>
      <c r="O1294">
        <f ca="1">SUM($N$2:N1294)/M1294</f>
        <v>120.86425077096288</v>
      </c>
    </row>
    <row r="1295" spans="1:15" x14ac:dyDescent="0.2">
      <c r="A1295">
        <v>1293</v>
      </c>
      <c r="B1295" s="11">
        <f t="shared" si="82"/>
        <v>0</v>
      </c>
      <c r="C1295">
        <f ca="1">SUM($B$2:B1295)/A1295</f>
        <v>118.66189978798228</v>
      </c>
      <c r="E1295">
        <v>1293</v>
      </c>
      <c r="F1295" s="11">
        <f t="shared" si="83"/>
        <v>0</v>
      </c>
      <c r="G1295">
        <f ca="1">SUM($F$2:F1295)/E1295</f>
        <v>120.77077493896678</v>
      </c>
      <c r="I1295">
        <v>1293</v>
      </c>
      <c r="J1295">
        <f t="shared" si="84"/>
        <v>0</v>
      </c>
      <c r="K1295">
        <f ca="1">SUM($J$2:J1295)/I1295</f>
        <v>118.66189978798228</v>
      </c>
      <c r="M1295">
        <v>1293</v>
      </c>
      <c r="N1295">
        <f t="shared" si="85"/>
        <v>0</v>
      </c>
      <c r="O1295">
        <f ca="1">SUM($N$2:N1295)/M1295</f>
        <v>120.77077493896678</v>
      </c>
    </row>
    <row r="1296" spans="1:15" x14ac:dyDescent="0.2">
      <c r="A1296">
        <v>1294</v>
      </c>
      <c r="B1296" s="11">
        <f t="shared" si="82"/>
        <v>0</v>
      </c>
      <c r="C1296">
        <f ca="1">SUM($B$2:B1296)/A1296</f>
        <v>118.57019816527132</v>
      </c>
      <c r="E1296">
        <v>1294</v>
      </c>
      <c r="F1296" s="11">
        <f t="shared" si="83"/>
        <v>0</v>
      </c>
      <c r="G1296">
        <f ca="1">SUM($F$2:F1296)/E1296</f>
        <v>120.67744358275428</v>
      </c>
      <c r="I1296">
        <v>1294</v>
      </c>
      <c r="J1296">
        <f t="shared" si="84"/>
        <v>0</v>
      </c>
      <c r="K1296">
        <f ca="1">SUM($J$2:J1296)/I1296</f>
        <v>118.57019816527132</v>
      </c>
      <c r="M1296">
        <v>1294</v>
      </c>
      <c r="N1296">
        <f t="shared" si="85"/>
        <v>0</v>
      </c>
      <c r="O1296">
        <f ca="1">SUM($N$2:N1296)/M1296</f>
        <v>120.67744358275428</v>
      </c>
    </row>
    <row r="1297" spans="1:15" x14ac:dyDescent="0.2">
      <c r="A1297">
        <v>1295</v>
      </c>
      <c r="B1297" s="11">
        <f t="shared" si="82"/>
        <v>0</v>
      </c>
      <c r="C1297">
        <f ca="1">SUM($B$2:B1297)/A1297</f>
        <v>118.4786381666881</v>
      </c>
      <c r="E1297">
        <v>1295</v>
      </c>
      <c r="F1297" s="11">
        <f t="shared" si="83"/>
        <v>0</v>
      </c>
      <c r="G1297">
        <f ca="1">SUM($F$2:F1297)/E1297</f>
        <v>120.58425636763246</v>
      </c>
      <c r="I1297">
        <v>1295</v>
      </c>
      <c r="J1297">
        <f t="shared" si="84"/>
        <v>0</v>
      </c>
      <c r="K1297">
        <f ca="1">SUM($J$2:J1297)/I1297</f>
        <v>118.4786381666881</v>
      </c>
      <c r="M1297">
        <v>1295</v>
      </c>
      <c r="N1297">
        <f t="shared" si="85"/>
        <v>0</v>
      </c>
      <c r="O1297">
        <f ca="1">SUM($N$2:N1297)/M1297</f>
        <v>120.58425636763246</v>
      </c>
    </row>
    <row r="1298" spans="1:15" x14ac:dyDescent="0.2">
      <c r="A1298">
        <v>1296</v>
      </c>
      <c r="B1298" s="11">
        <f t="shared" si="82"/>
        <v>0</v>
      </c>
      <c r="C1298">
        <f ca="1">SUM($B$2:B1298)/A1298</f>
        <v>118.38721946439898</v>
      </c>
      <c r="E1298">
        <v>1296</v>
      </c>
      <c r="F1298" s="11">
        <f t="shared" si="83"/>
        <v>0</v>
      </c>
      <c r="G1298">
        <f ca="1">SUM($F$2:F1298)/E1298</f>
        <v>120.49121295994139</v>
      </c>
      <c r="I1298">
        <v>1296</v>
      </c>
      <c r="J1298">
        <f t="shared" si="84"/>
        <v>0</v>
      </c>
      <c r="K1298">
        <f ca="1">SUM($J$2:J1298)/I1298</f>
        <v>118.38721946439898</v>
      </c>
      <c r="M1298">
        <v>1296</v>
      </c>
      <c r="N1298">
        <f t="shared" si="85"/>
        <v>0</v>
      </c>
      <c r="O1298">
        <f ca="1">SUM($N$2:N1298)/M1298</f>
        <v>120.49121295994139</v>
      </c>
    </row>
    <row r="1299" spans="1:15" x14ac:dyDescent="0.2">
      <c r="A1299">
        <v>1297</v>
      </c>
      <c r="B1299" s="11">
        <f t="shared" si="82"/>
        <v>0</v>
      </c>
      <c r="C1299">
        <f ca="1">SUM($B$2:B1299)/A1299</f>
        <v>118.29594173158141</v>
      </c>
      <c r="E1299">
        <v>1297</v>
      </c>
      <c r="F1299" s="11">
        <f t="shared" si="83"/>
        <v>0</v>
      </c>
      <c r="G1299">
        <f ca="1">SUM($F$2:F1299)/E1299</f>
        <v>120.39831302705015</v>
      </c>
      <c r="I1299">
        <v>1297</v>
      </c>
      <c r="J1299">
        <f t="shared" si="84"/>
        <v>0</v>
      </c>
      <c r="K1299">
        <f ca="1">SUM($J$2:J1299)/I1299</f>
        <v>118.29594173158141</v>
      </c>
      <c r="M1299">
        <v>1297</v>
      </c>
      <c r="N1299">
        <f t="shared" si="85"/>
        <v>0</v>
      </c>
      <c r="O1299">
        <f ca="1">SUM($N$2:N1299)/M1299</f>
        <v>120.39831302705015</v>
      </c>
    </row>
    <row r="1300" spans="1:15" x14ac:dyDescent="0.2">
      <c r="A1300">
        <v>1298</v>
      </c>
      <c r="B1300" s="11">
        <f t="shared" si="82"/>
        <v>0</v>
      </c>
      <c r="C1300">
        <f ca="1">SUM($B$2:B1300)/A1300</f>
        <v>118.20480464241994</v>
      </c>
      <c r="E1300">
        <v>1298</v>
      </c>
      <c r="F1300" s="11">
        <f t="shared" si="83"/>
        <v>0</v>
      </c>
      <c r="G1300">
        <f ca="1">SUM($F$2:F1300)/E1300</f>
        <v>120.30555623735289</v>
      </c>
      <c r="I1300">
        <v>1298</v>
      </c>
      <c r="J1300">
        <f t="shared" si="84"/>
        <v>0</v>
      </c>
      <c r="K1300">
        <f ca="1">SUM($J$2:J1300)/I1300</f>
        <v>118.20480464241994</v>
      </c>
      <c r="M1300">
        <v>1298</v>
      </c>
      <c r="N1300">
        <f t="shared" si="85"/>
        <v>0</v>
      </c>
      <c r="O1300">
        <f ca="1">SUM($N$2:N1300)/M1300</f>
        <v>120.30555623735289</v>
      </c>
    </row>
    <row r="1301" spans="1:15" x14ac:dyDescent="0.2">
      <c r="A1301">
        <v>1299</v>
      </c>
      <c r="B1301" s="11">
        <f t="shared" si="82"/>
        <v>0</v>
      </c>
      <c r="C1301">
        <f ca="1">SUM($B$2:B1301)/A1301</f>
        <v>118.11380787210246</v>
      </c>
      <c r="E1301">
        <v>1299</v>
      </c>
      <c r="F1301" s="11">
        <f t="shared" si="83"/>
        <v>0</v>
      </c>
      <c r="G1301">
        <f ca="1">SUM($F$2:F1301)/E1301</f>
        <v>120.21294226026485</v>
      </c>
      <c r="I1301">
        <v>1299</v>
      </c>
      <c r="J1301">
        <f t="shared" si="84"/>
        <v>0</v>
      </c>
      <c r="K1301">
        <f ca="1">SUM($J$2:J1301)/I1301</f>
        <v>118.11380787210246</v>
      </c>
      <c r="M1301">
        <v>1299</v>
      </c>
      <c r="N1301">
        <f t="shared" si="85"/>
        <v>0</v>
      </c>
      <c r="O1301">
        <f ca="1">SUM($N$2:N1301)/M1301</f>
        <v>120.21294226026485</v>
      </c>
    </row>
    <row r="1302" spans="1:15" x14ac:dyDescent="0.2">
      <c r="A1302">
        <v>1300</v>
      </c>
      <c r="B1302" s="11">
        <f t="shared" si="82"/>
        <v>0</v>
      </c>
      <c r="C1302">
        <f ca="1">SUM($B$2:B1302)/A1302</f>
        <v>118.02295109681621</v>
      </c>
      <c r="E1302">
        <v>1300</v>
      </c>
      <c r="F1302" s="11">
        <f t="shared" si="83"/>
        <v>0</v>
      </c>
      <c r="G1302">
        <f ca="1">SUM($F$2:F1302)/E1302</f>
        <v>120.12047076621849</v>
      </c>
      <c r="I1302">
        <v>1300</v>
      </c>
      <c r="J1302">
        <f t="shared" si="84"/>
        <v>0</v>
      </c>
      <c r="K1302">
        <f ca="1">SUM($J$2:J1302)/I1302</f>
        <v>118.02295109681621</v>
      </c>
      <c r="M1302">
        <v>1300</v>
      </c>
      <c r="N1302">
        <f t="shared" si="85"/>
        <v>0</v>
      </c>
      <c r="O1302">
        <f ca="1">SUM($N$2:N1302)/M1302</f>
        <v>120.12047076621849</v>
      </c>
    </row>
    <row r="1303" spans="1:15" x14ac:dyDescent="0.2">
      <c r="A1303">
        <v>1301</v>
      </c>
      <c r="B1303" s="11">
        <f t="shared" si="82"/>
        <v>0</v>
      </c>
      <c r="C1303">
        <f ca="1">SUM($B$2:B1303)/A1303</f>
        <v>117.93223399374411</v>
      </c>
      <c r="E1303">
        <v>1301</v>
      </c>
      <c r="F1303" s="11">
        <f t="shared" si="83"/>
        <v>0</v>
      </c>
      <c r="G1303">
        <f ca="1">SUM($F$2:F1303)/E1303</f>
        <v>120.02814142665953</v>
      </c>
      <c r="I1303">
        <v>1301</v>
      </c>
      <c r="J1303">
        <f t="shared" si="84"/>
        <v>0</v>
      </c>
      <c r="K1303">
        <f ca="1">SUM($J$2:J1303)/I1303</f>
        <v>117.93223399374411</v>
      </c>
      <c r="M1303">
        <v>1301</v>
      </c>
      <c r="N1303">
        <f t="shared" si="85"/>
        <v>0</v>
      </c>
      <c r="O1303">
        <f ca="1">SUM($N$2:N1303)/M1303</f>
        <v>120.02814142665953</v>
      </c>
    </row>
    <row r="1304" spans="1:15" x14ac:dyDescent="0.2">
      <c r="A1304">
        <v>1302</v>
      </c>
      <c r="B1304" s="11">
        <f t="shared" si="82"/>
        <v>0</v>
      </c>
      <c r="C1304">
        <f ca="1">SUM($B$2:B1304)/A1304</f>
        <v>117.84165624106073</v>
      </c>
      <c r="E1304">
        <v>1302</v>
      </c>
      <c r="F1304" s="11">
        <f t="shared" si="83"/>
        <v>0</v>
      </c>
      <c r="G1304">
        <f ca="1">SUM($F$2:F1304)/E1304</f>
        <v>119.93595391404304</v>
      </c>
      <c r="I1304">
        <v>1302</v>
      </c>
      <c r="J1304">
        <f t="shared" si="84"/>
        <v>0</v>
      </c>
      <c r="K1304">
        <f ca="1">SUM($J$2:J1304)/I1304</f>
        <v>117.84165624106073</v>
      </c>
      <c r="M1304">
        <v>1302</v>
      </c>
      <c r="N1304">
        <f t="shared" si="85"/>
        <v>0</v>
      </c>
      <c r="O1304">
        <f ca="1">SUM($N$2:N1304)/M1304</f>
        <v>119.93595391404304</v>
      </c>
    </row>
    <row r="1305" spans="1:15" x14ac:dyDescent="0.2">
      <c r="A1305">
        <v>1303</v>
      </c>
      <c r="B1305" s="11">
        <f t="shared" si="82"/>
        <v>0</v>
      </c>
      <c r="C1305">
        <f ca="1">SUM($B$2:B1305)/A1305</f>
        <v>117.75121751792869</v>
      </c>
      <c r="E1305">
        <v>1303</v>
      </c>
      <c r="F1305" s="11">
        <f t="shared" si="83"/>
        <v>0</v>
      </c>
      <c r="G1305">
        <f ca="1">SUM($F$2:F1305)/E1305</f>
        <v>119.84390790182965</v>
      </c>
      <c r="I1305">
        <v>1303</v>
      </c>
      <c r="J1305">
        <f t="shared" si="84"/>
        <v>0</v>
      </c>
      <c r="K1305">
        <f ca="1">SUM($J$2:J1305)/I1305</f>
        <v>117.75121751792869</v>
      </c>
      <c r="M1305">
        <v>1303</v>
      </c>
      <c r="N1305">
        <f t="shared" si="85"/>
        <v>0</v>
      </c>
      <c r="O1305">
        <f ca="1">SUM($N$2:N1305)/M1305</f>
        <v>119.84390790182965</v>
      </c>
    </row>
    <row r="1306" spans="1:15" x14ac:dyDescent="0.2">
      <c r="A1306">
        <v>1304</v>
      </c>
      <c r="B1306" s="11">
        <f t="shared" si="82"/>
        <v>0</v>
      </c>
      <c r="C1306">
        <f ca="1">SUM($B$2:B1306)/A1306</f>
        <v>117.66091750449469</v>
      </c>
      <c r="E1306">
        <v>1304</v>
      </c>
      <c r="F1306" s="11">
        <f t="shared" si="83"/>
        <v>0</v>
      </c>
      <c r="G1306">
        <f ca="1">SUM($F$2:F1306)/E1306</f>
        <v>119.75200306448163</v>
      </c>
      <c r="I1306">
        <v>1304</v>
      </c>
      <c r="J1306">
        <f t="shared" si="84"/>
        <v>0</v>
      </c>
      <c r="K1306">
        <f ca="1">SUM($J$2:J1306)/I1306</f>
        <v>117.66091750449469</v>
      </c>
      <c r="M1306">
        <v>1304</v>
      </c>
      <c r="N1306">
        <f t="shared" si="85"/>
        <v>0</v>
      </c>
      <c r="O1306">
        <f ca="1">SUM($N$2:N1306)/M1306</f>
        <v>119.75200306448163</v>
      </c>
    </row>
    <row r="1307" spans="1:15" x14ac:dyDescent="0.2">
      <c r="A1307">
        <v>1305</v>
      </c>
      <c r="B1307" s="11">
        <f t="shared" si="82"/>
        <v>0</v>
      </c>
      <c r="C1307">
        <f ca="1">SUM($B$2:B1307)/A1307</f>
        <v>117.57075588188589</v>
      </c>
      <c r="E1307">
        <v>1305</v>
      </c>
      <c r="F1307" s="11">
        <f t="shared" si="83"/>
        <v>0</v>
      </c>
      <c r="G1307">
        <f ca="1">SUM($F$2:F1307)/E1307</f>
        <v>119.66023907745904</v>
      </c>
      <c r="I1307">
        <v>1305</v>
      </c>
      <c r="J1307">
        <f t="shared" si="84"/>
        <v>0</v>
      </c>
      <c r="K1307">
        <f ca="1">SUM($J$2:J1307)/I1307</f>
        <v>117.57075588188589</v>
      </c>
      <c r="M1307">
        <v>1305</v>
      </c>
      <c r="N1307">
        <f t="shared" si="85"/>
        <v>0</v>
      </c>
      <c r="O1307">
        <f ca="1">SUM($N$2:N1307)/M1307</f>
        <v>119.66023907745904</v>
      </c>
    </row>
    <row r="1308" spans="1:15" x14ac:dyDescent="0.2">
      <c r="A1308">
        <v>1306</v>
      </c>
      <c r="B1308" s="11">
        <f t="shared" si="82"/>
        <v>0</v>
      </c>
      <c r="C1308">
        <f ca="1">SUM($B$2:B1308)/A1308</f>
        <v>117.48073233220603</v>
      </c>
      <c r="E1308">
        <v>1306</v>
      </c>
      <c r="F1308" s="11">
        <f t="shared" si="83"/>
        <v>0</v>
      </c>
      <c r="G1308">
        <f ca="1">SUM($F$2:F1308)/E1308</f>
        <v>119.56861561721595</v>
      </c>
      <c r="I1308">
        <v>1306</v>
      </c>
      <c r="J1308">
        <f t="shared" si="84"/>
        <v>0</v>
      </c>
      <c r="K1308">
        <f ca="1">SUM($J$2:J1308)/I1308</f>
        <v>117.48073233220603</v>
      </c>
      <c r="M1308">
        <v>1306</v>
      </c>
      <c r="N1308">
        <f t="shared" si="85"/>
        <v>0</v>
      </c>
      <c r="O1308">
        <f ca="1">SUM($N$2:N1308)/M1308</f>
        <v>119.56861561721595</v>
      </c>
    </row>
    <row r="1309" spans="1:15" x14ac:dyDescent="0.2">
      <c r="A1309">
        <v>1307</v>
      </c>
      <c r="B1309" s="11">
        <f t="shared" si="82"/>
        <v>0</v>
      </c>
      <c r="C1309">
        <f ca="1">SUM($B$2:B1309)/A1309</f>
        <v>117.39084653853182</v>
      </c>
      <c r="E1309">
        <v>1307</v>
      </c>
      <c r="F1309" s="11">
        <f t="shared" si="83"/>
        <v>0</v>
      </c>
      <c r="G1309">
        <f ca="1">SUM($F$2:F1309)/E1309</f>
        <v>119.47713236119667</v>
      </c>
      <c r="I1309">
        <v>1307</v>
      </c>
      <c r="J1309">
        <f t="shared" si="84"/>
        <v>0</v>
      </c>
      <c r="K1309">
        <f ca="1">SUM($J$2:J1309)/I1309</f>
        <v>117.39084653853182</v>
      </c>
      <c r="M1309">
        <v>1307</v>
      </c>
      <c r="N1309">
        <f t="shared" si="85"/>
        <v>0</v>
      </c>
      <c r="O1309">
        <f ca="1">SUM($N$2:N1309)/M1309</f>
        <v>119.47713236119667</v>
      </c>
    </row>
    <row r="1310" spans="1:15" x14ac:dyDescent="0.2">
      <c r="A1310">
        <v>1308</v>
      </c>
      <c r="B1310" s="11">
        <f t="shared" si="82"/>
        <v>0</v>
      </c>
      <c r="C1310">
        <f ca="1">SUM($B$2:B1310)/A1310</f>
        <v>117.30109818490908</v>
      </c>
      <c r="E1310">
        <v>1308</v>
      </c>
      <c r="F1310" s="11">
        <f t="shared" si="83"/>
        <v>0</v>
      </c>
      <c r="G1310">
        <f ca="1">SUM($F$2:F1310)/E1310</f>
        <v>119.38578898783184</v>
      </c>
      <c r="I1310">
        <v>1308</v>
      </c>
      <c r="J1310">
        <f t="shared" si="84"/>
        <v>0</v>
      </c>
      <c r="K1310">
        <f ca="1">SUM($J$2:J1310)/I1310</f>
        <v>117.30109818490908</v>
      </c>
      <c r="M1310">
        <v>1308</v>
      </c>
      <c r="N1310">
        <f t="shared" si="85"/>
        <v>0</v>
      </c>
      <c r="O1310">
        <f ca="1">SUM($N$2:N1310)/M1310</f>
        <v>119.38578898783184</v>
      </c>
    </row>
    <row r="1311" spans="1:15" x14ac:dyDescent="0.2">
      <c r="A1311">
        <v>1309</v>
      </c>
      <c r="B1311" s="11">
        <f t="shared" si="82"/>
        <v>0</v>
      </c>
      <c r="C1311">
        <f ca="1">SUM($B$2:B1311)/A1311</f>
        <v>117.21148695634919</v>
      </c>
      <c r="E1311">
        <v>1309</v>
      </c>
      <c r="F1311" s="11">
        <f t="shared" si="83"/>
        <v>0</v>
      </c>
      <c r="G1311">
        <f ca="1">SUM($F$2:F1311)/E1311</f>
        <v>119.2945851765348</v>
      </c>
      <c r="I1311">
        <v>1309</v>
      </c>
      <c r="J1311">
        <f t="shared" si="84"/>
        <v>0</v>
      </c>
      <c r="K1311">
        <f ca="1">SUM($J$2:J1311)/I1311</f>
        <v>117.21148695634919</v>
      </c>
      <c r="M1311">
        <v>1309</v>
      </c>
      <c r="N1311">
        <f t="shared" si="85"/>
        <v>0</v>
      </c>
      <c r="O1311">
        <f ca="1">SUM($N$2:N1311)/M1311</f>
        <v>119.2945851765348</v>
      </c>
    </row>
    <row r="1312" spans="1:15" x14ac:dyDescent="0.2">
      <c r="A1312">
        <v>1310</v>
      </c>
      <c r="B1312" s="11">
        <f t="shared" si="82"/>
        <v>0</v>
      </c>
      <c r="C1312">
        <f ca="1">SUM($B$2:B1312)/A1312</f>
        <v>117.12201253882526</v>
      </c>
      <c r="E1312">
        <v>1310</v>
      </c>
      <c r="F1312" s="11">
        <f t="shared" si="83"/>
        <v>0</v>
      </c>
      <c r="G1312">
        <f ca="1">SUM($F$2:F1312)/E1312</f>
        <v>119.20352060769774</v>
      </c>
      <c r="I1312">
        <v>1310</v>
      </c>
      <c r="J1312">
        <f t="shared" si="84"/>
        <v>0</v>
      </c>
      <c r="K1312">
        <f ca="1">SUM($J$2:J1312)/I1312</f>
        <v>117.12201253882526</v>
      </c>
      <c r="M1312">
        <v>1310</v>
      </c>
      <c r="N1312">
        <f t="shared" si="85"/>
        <v>0</v>
      </c>
      <c r="O1312">
        <f ca="1">SUM($N$2:N1312)/M1312</f>
        <v>119.20352060769774</v>
      </c>
    </row>
    <row r="1313" spans="1:15" x14ac:dyDescent="0.2">
      <c r="A1313">
        <v>1311</v>
      </c>
      <c r="B1313" s="11">
        <f t="shared" si="82"/>
        <v>0</v>
      </c>
      <c r="C1313">
        <f ca="1">SUM($B$2:B1313)/A1313</f>
        <v>117.03267461926856</v>
      </c>
      <c r="E1313">
        <v>1311</v>
      </c>
      <c r="F1313" s="11">
        <f t="shared" si="83"/>
        <v>0</v>
      </c>
      <c r="G1313">
        <f ca="1">SUM($F$2:F1313)/E1313</f>
        <v>119.11259496268806</v>
      </c>
      <c r="I1313">
        <v>1311</v>
      </c>
      <c r="J1313">
        <f t="shared" si="84"/>
        <v>0</v>
      </c>
      <c r="K1313">
        <f ca="1">SUM($J$2:J1313)/I1313</f>
        <v>117.03267461926856</v>
      </c>
      <c r="M1313">
        <v>1311</v>
      </c>
      <c r="N1313">
        <f t="shared" si="85"/>
        <v>0</v>
      </c>
      <c r="O1313">
        <f ca="1">SUM($N$2:N1313)/M1313</f>
        <v>119.11259496268806</v>
      </c>
    </row>
    <row r="1314" spans="1:15" x14ac:dyDescent="0.2">
      <c r="A1314">
        <v>1312</v>
      </c>
      <c r="B1314" s="11">
        <f t="shared" si="82"/>
        <v>0</v>
      </c>
      <c r="C1314">
        <f ca="1">SUM($B$2:B1314)/A1314</f>
        <v>116.94347288556484</v>
      </c>
      <c r="E1314">
        <v>1312</v>
      </c>
      <c r="F1314" s="11">
        <f t="shared" si="83"/>
        <v>0</v>
      </c>
      <c r="G1314">
        <f ca="1">SUM($F$2:F1314)/E1314</f>
        <v>119.02180792384455</v>
      </c>
      <c r="I1314">
        <v>1312</v>
      </c>
      <c r="J1314">
        <f t="shared" si="84"/>
        <v>0</v>
      </c>
      <c r="K1314">
        <f ca="1">SUM($J$2:J1314)/I1314</f>
        <v>116.94347288556484</v>
      </c>
      <c r="M1314">
        <v>1312</v>
      </c>
      <c r="N1314">
        <f t="shared" si="85"/>
        <v>0</v>
      </c>
      <c r="O1314">
        <f ca="1">SUM($N$2:N1314)/M1314</f>
        <v>119.02180792384455</v>
      </c>
    </row>
    <row r="1315" spans="1:15" x14ac:dyDescent="0.2">
      <c r="A1315">
        <v>1313</v>
      </c>
      <c r="B1315" s="11">
        <f t="shared" si="82"/>
        <v>0</v>
      </c>
      <c r="C1315">
        <f ca="1">SUM($B$2:B1315)/A1315</f>
        <v>116.8544070265507</v>
      </c>
      <c r="E1315">
        <v>1313</v>
      </c>
      <c r="F1315" s="11">
        <f t="shared" si="83"/>
        <v>0</v>
      </c>
      <c r="G1315">
        <f ca="1">SUM($F$2:F1315)/E1315</f>
        <v>118.93115917447376</v>
      </c>
      <c r="I1315">
        <v>1313</v>
      </c>
      <c r="J1315">
        <f t="shared" si="84"/>
        <v>0</v>
      </c>
      <c r="K1315">
        <f ca="1">SUM($J$2:J1315)/I1315</f>
        <v>116.8544070265507</v>
      </c>
      <c r="M1315">
        <v>1313</v>
      </c>
      <c r="N1315">
        <f t="shared" si="85"/>
        <v>0</v>
      </c>
      <c r="O1315">
        <f ca="1">SUM($N$2:N1315)/M1315</f>
        <v>118.93115917447376</v>
      </c>
    </row>
    <row r="1316" spans="1:15" x14ac:dyDescent="0.2">
      <c r="A1316">
        <v>1314</v>
      </c>
      <c r="B1316" s="11">
        <f t="shared" si="82"/>
        <v>0</v>
      </c>
      <c r="C1316">
        <f ca="1">SUM($B$2:B1316)/A1316</f>
        <v>116.76547673200996</v>
      </c>
      <c r="E1316">
        <v>1314</v>
      </c>
      <c r="F1316" s="11">
        <f t="shared" si="83"/>
        <v>0</v>
      </c>
      <c r="G1316">
        <f ca="1">SUM($F$2:F1316)/E1316</f>
        <v>118.8406483988463</v>
      </c>
      <c r="I1316">
        <v>1314</v>
      </c>
      <c r="J1316">
        <f t="shared" si="84"/>
        <v>0</v>
      </c>
      <c r="K1316">
        <f ca="1">SUM($J$2:J1316)/I1316</f>
        <v>116.76547673200996</v>
      </c>
      <c r="M1316">
        <v>1314</v>
      </c>
      <c r="N1316">
        <f t="shared" si="85"/>
        <v>0</v>
      </c>
      <c r="O1316">
        <f ca="1">SUM($N$2:N1316)/M1316</f>
        <v>118.8406483988463</v>
      </c>
    </row>
    <row r="1317" spans="1:15" x14ac:dyDescent="0.2">
      <c r="A1317">
        <v>1315</v>
      </c>
      <c r="B1317" s="11">
        <f t="shared" si="82"/>
        <v>0</v>
      </c>
      <c r="C1317">
        <f ca="1">SUM($B$2:B1317)/A1317</f>
        <v>116.67668169267003</v>
      </c>
      <c r="E1317">
        <v>1315</v>
      </c>
      <c r="F1317" s="11">
        <f t="shared" si="83"/>
        <v>0</v>
      </c>
      <c r="G1317">
        <f ca="1">SUM($F$2:F1317)/E1317</f>
        <v>118.75027528219319</v>
      </c>
      <c r="I1317">
        <v>1315</v>
      </c>
      <c r="J1317">
        <f t="shared" si="84"/>
        <v>0</v>
      </c>
      <c r="K1317">
        <f ca="1">SUM($J$2:J1317)/I1317</f>
        <v>116.67668169267003</v>
      </c>
      <c r="M1317">
        <v>1315</v>
      </c>
      <c r="N1317">
        <f t="shared" si="85"/>
        <v>0</v>
      </c>
      <c r="O1317">
        <f ca="1">SUM($N$2:N1317)/M1317</f>
        <v>118.75027528219319</v>
      </c>
    </row>
    <row r="1318" spans="1:15" x14ac:dyDescent="0.2">
      <c r="A1318">
        <v>1316</v>
      </c>
      <c r="B1318" s="11">
        <f t="shared" si="82"/>
        <v>0</v>
      </c>
      <c r="C1318">
        <f ca="1">SUM($B$2:B1318)/A1318</f>
        <v>116.58802160019839</v>
      </c>
      <c r="E1318">
        <v>1316</v>
      </c>
      <c r="F1318" s="11">
        <f t="shared" si="83"/>
        <v>0</v>
      </c>
      <c r="G1318">
        <f ca="1">SUM($F$2:F1318)/E1318</f>
        <v>118.66003951070216</v>
      </c>
      <c r="I1318">
        <v>1316</v>
      </c>
      <c r="J1318">
        <f t="shared" si="84"/>
        <v>0</v>
      </c>
      <c r="K1318">
        <f ca="1">SUM($J$2:J1318)/I1318</f>
        <v>116.58802160019839</v>
      </c>
      <c r="M1318">
        <v>1316</v>
      </c>
      <c r="N1318">
        <f t="shared" si="85"/>
        <v>0</v>
      </c>
      <c r="O1318">
        <f ca="1">SUM($N$2:N1318)/M1318</f>
        <v>118.66003951070216</v>
      </c>
    </row>
    <row r="1319" spans="1:15" x14ac:dyDescent="0.2">
      <c r="A1319">
        <v>1317</v>
      </c>
      <c r="B1319" s="11">
        <f t="shared" si="82"/>
        <v>0</v>
      </c>
      <c r="C1319">
        <f ca="1">SUM($B$2:B1319)/A1319</f>
        <v>116.499496147199</v>
      </c>
      <c r="E1319">
        <v>1317</v>
      </c>
      <c r="F1319" s="11">
        <f t="shared" si="83"/>
        <v>0</v>
      </c>
      <c r="G1319">
        <f ca="1">SUM($F$2:F1319)/E1319</f>
        <v>118.56994077151408</v>
      </c>
      <c r="I1319">
        <v>1317</v>
      </c>
      <c r="J1319">
        <f t="shared" si="84"/>
        <v>0</v>
      </c>
      <c r="K1319">
        <f ca="1">SUM($J$2:J1319)/I1319</f>
        <v>116.499496147199</v>
      </c>
      <c r="M1319">
        <v>1317</v>
      </c>
      <c r="N1319">
        <f t="shared" si="85"/>
        <v>0</v>
      </c>
      <c r="O1319">
        <f ca="1">SUM($N$2:N1319)/M1319</f>
        <v>118.56994077151408</v>
      </c>
    </row>
    <row r="1320" spans="1:15" x14ac:dyDescent="0.2">
      <c r="A1320">
        <v>1318</v>
      </c>
      <c r="B1320" s="11">
        <f t="shared" si="82"/>
        <v>0</v>
      </c>
      <c r="C1320">
        <f ca="1">SUM($B$2:B1320)/A1320</f>
        <v>116.41110502720871</v>
      </c>
      <c r="E1320">
        <v>1318</v>
      </c>
      <c r="F1320" s="11">
        <f t="shared" si="83"/>
        <v>0</v>
      </c>
      <c r="G1320">
        <f ca="1">SUM($F$2:F1320)/E1320</f>
        <v>118.4799787527193</v>
      </c>
      <c r="I1320">
        <v>1318</v>
      </c>
      <c r="J1320">
        <f t="shared" si="84"/>
        <v>0</v>
      </c>
      <c r="K1320">
        <f ca="1">SUM($J$2:J1320)/I1320</f>
        <v>116.41110502720871</v>
      </c>
      <c r="M1320">
        <v>1318</v>
      </c>
      <c r="N1320">
        <f t="shared" si="85"/>
        <v>0</v>
      </c>
      <c r="O1320">
        <f ca="1">SUM($N$2:N1320)/M1320</f>
        <v>118.4799787527193</v>
      </c>
    </row>
    <row r="1321" spans="1:15" x14ac:dyDescent="0.2">
      <c r="A1321">
        <v>1319</v>
      </c>
      <c r="B1321" s="11">
        <f t="shared" si="82"/>
        <v>0</v>
      </c>
      <c r="C1321">
        <f ca="1">SUM($B$2:B1321)/A1321</f>
        <v>116.32284793469377</v>
      </c>
      <c r="E1321">
        <v>1319</v>
      </c>
      <c r="F1321" s="11">
        <f t="shared" si="83"/>
        <v>0</v>
      </c>
      <c r="G1321">
        <f ca="1">SUM($F$2:F1321)/E1321</f>
        <v>118.39015314335408</v>
      </c>
      <c r="I1321">
        <v>1319</v>
      </c>
      <c r="J1321">
        <f t="shared" si="84"/>
        <v>0</v>
      </c>
      <c r="K1321">
        <f ca="1">SUM($J$2:J1321)/I1321</f>
        <v>116.32284793469377</v>
      </c>
      <c r="M1321">
        <v>1319</v>
      </c>
      <c r="N1321">
        <f t="shared" si="85"/>
        <v>0</v>
      </c>
      <c r="O1321">
        <f ca="1">SUM($N$2:N1321)/M1321</f>
        <v>118.39015314335408</v>
      </c>
    </row>
    <row r="1322" spans="1:15" x14ac:dyDescent="0.2">
      <c r="A1322">
        <v>1320</v>
      </c>
      <c r="B1322" s="11">
        <f t="shared" si="82"/>
        <v>0</v>
      </c>
      <c r="C1322">
        <f ca="1">SUM($B$2:B1322)/A1322</f>
        <v>116.23472456504628</v>
      </c>
      <c r="E1322">
        <v>1320</v>
      </c>
      <c r="F1322" s="11">
        <f t="shared" si="83"/>
        <v>0</v>
      </c>
      <c r="G1322">
        <f ca="1">SUM($F$2:F1322)/E1322</f>
        <v>118.300463633397</v>
      </c>
      <c r="I1322">
        <v>1320</v>
      </c>
      <c r="J1322">
        <f t="shared" si="84"/>
        <v>0</v>
      </c>
      <c r="K1322">
        <f ca="1">SUM($J$2:J1322)/I1322</f>
        <v>116.23472456504628</v>
      </c>
      <c r="M1322">
        <v>1320</v>
      </c>
      <c r="N1322">
        <f t="shared" si="85"/>
        <v>0</v>
      </c>
      <c r="O1322">
        <f ca="1">SUM($N$2:N1322)/M1322</f>
        <v>118.300463633397</v>
      </c>
    </row>
    <row r="1323" spans="1:15" x14ac:dyDescent="0.2">
      <c r="A1323">
        <v>1321</v>
      </c>
      <c r="B1323" s="11">
        <f t="shared" si="82"/>
        <v>0</v>
      </c>
      <c r="C1323">
        <f ca="1">SUM($B$2:B1323)/A1323</f>
        <v>116.14673461458068</v>
      </c>
      <c r="E1323">
        <v>1321</v>
      </c>
      <c r="F1323" s="11">
        <f t="shared" si="83"/>
        <v>0</v>
      </c>
      <c r="G1323">
        <f ca="1">SUM($F$2:F1323)/E1323</f>
        <v>118.21090991376536</v>
      </c>
      <c r="I1323">
        <v>1321</v>
      </c>
      <c r="J1323">
        <f t="shared" si="84"/>
        <v>0</v>
      </c>
      <c r="K1323">
        <f ca="1">SUM($J$2:J1323)/I1323</f>
        <v>116.14673461458068</v>
      </c>
      <c r="M1323">
        <v>1321</v>
      </c>
      <c r="N1323">
        <f t="shared" si="85"/>
        <v>0</v>
      </c>
      <c r="O1323">
        <f ca="1">SUM($N$2:N1323)/M1323</f>
        <v>118.21090991376536</v>
      </c>
    </row>
    <row r="1324" spans="1:15" x14ac:dyDescent="0.2">
      <c r="A1324">
        <v>1322</v>
      </c>
      <c r="B1324" s="11">
        <f t="shared" si="82"/>
        <v>0</v>
      </c>
      <c r="C1324">
        <f ca="1">SUM($B$2:B1324)/A1324</f>
        <v>116.05887778053032</v>
      </c>
      <c r="E1324">
        <v>1322</v>
      </c>
      <c r="F1324" s="11">
        <f t="shared" si="83"/>
        <v>0</v>
      </c>
      <c r="G1324">
        <f ca="1">SUM($F$2:F1324)/E1324</f>
        <v>118.12149167631168</v>
      </c>
      <c r="I1324">
        <v>1322</v>
      </c>
      <c r="J1324">
        <f t="shared" si="84"/>
        <v>0</v>
      </c>
      <c r="K1324">
        <f ca="1">SUM($J$2:J1324)/I1324</f>
        <v>116.05887778053032</v>
      </c>
      <c r="M1324">
        <v>1322</v>
      </c>
      <c r="N1324">
        <f t="shared" si="85"/>
        <v>0</v>
      </c>
      <c r="O1324">
        <f ca="1">SUM($N$2:N1324)/M1324</f>
        <v>118.12149167631168</v>
      </c>
    </row>
    <row r="1325" spans="1:15" x14ac:dyDescent="0.2">
      <c r="A1325">
        <v>1323</v>
      </c>
      <c r="B1325" s="11">
        <f t="shared" si="82"/>
        <v>0</v>
      </c>
      <c r="C1325">
        <f ca="1">SUM($B$2:B1325)/A1325</f>
        <v>115.97115376104391</v>
      </c>
      <c r="E1325">
        <v>1323</v>
      </c>
      <c r="F1325" s="11">
        <f t="shared" si="83"/>
        <v>0</v>
      </c>
      <c r="G1325">
        <f ca="1">SUM($F$2:F1325)/E1325</f>
        <v>118.03220861382015</v>
      </c>
      <c r="I1325">
        <v>1323</v>
      </c>
      <c r="J1325">
        <f t="shared" si="84"/>
        <v>0</v>
      </c>
      <c r="K1325">
        <f ca="1">SUM($J$2:J1325)/I1325</f>
        <v>115.97115376104391</v>
      </c>
      <c r="M1325">
        <v>1323</v>
      </c>
      <c r="N1325">
        <f t="shared" si="85"/>
        <v>0</v>
      </c>
      <c r="O1325">
        <f ca="1">SUM($N$2:N1325)/M1325</f>
        <v>118.03220861382015</v>
      </c>
    </row>
    <row r="1326" spans="1:15" x14ac:dyDescent="0.2">
      <c r="A1326">
        <v>1324</v>
      </c>
      <c r="B1326" s="11">
        <f t="shared" si="82"/>
        <v>0</v>
      </c>
      <c r="C1326">
        <f ca="1">SUM($B$2:B1326)/A1326</f>
        <v>115.88356225518208</v>
      </c>
      <c r="E1326">
        <v>1324</v>
      </c>
      <c r="F1326" s="11">
        <f t="shared" si="83"/>
        <v>0</v>
      </c>
      <c r="G1326">
        <f ca="1">SUM($F$2:F1326)/E1326</f>
        <v>117.94306042000305</v>
      </c>
      <c r="I1326">
        <v>1324</v>
      </c>
      <c r="J1326">
        <f t="shared" si="84"/>
        <v>0</v>
      </c>
      <c r="K1326">
        <f ca="1">SUM($J$2:J1326)/I1326</f>
        <v>115.88356225518208</v>
      </c>
      <c r="M1326">
        <v>1324</v>
      </c>
      <c r="N1326">
        <f t="shared" si="85"/>
        <v>0</v>
      </c>
      <c r="O1326">
        <f ca="1">SUM($N$2:N1326)/M1326</f>
        <v>117.94306042000305</v>
      </c>
    </row>
    <row r="1327" spans="1:15" x14ac:dyDescent="0.2">
      <c r="A1327">
        <v>1325</v>
      </c>
      <c r="B1327" s="11">
        <f t="shared" si="82"/>
        <v>0</v>
      </c>
      <c r="C1327">
        <f ca="1">SUM($B$2:B1327)/A1327</f>
        <v>115.79610296291402</v>
      </c>
      <c r="E1327">
        <v>1325</v>
      </c>
      <c r="F1327" s="11">
        <f t="shared" si="83"/>
        <v>0</v>
      </c>
      <c r="G1327">
        <f ca="1">SUM($F$2:F1327)/E1327</f>
        <v>117.85404678949739</v>
      </c>
      <c r="I1327">
        <v>1325</v>
      </c>
      <c r="J1327">
        <f t="shared" si="84"/>
        <v>0</v>
      </c>
      <c r="K1327">
        <f ca="1">SUM($J$2:J1327)/I1327</f>
        <v>115.79610296291402</v>
      </c>
      <c r="M1327">
        <v>1325</v>
      </c>
      <c r="N1327">
        <f t="shared" si="85"/>
        <v>0</v>
      </c>
      <c r="O1327">
        <f ca="1">SUM($N$2:N1327)/M1327</f>
        <v>117.85404678949739</v>
      </c>
    </row>
    <row r="1328" spans="1:15" x14ac:dyDescent="0.2">
      <c r="A1328">
        <v>1326</v>
      </c>
      <c r="B1328" s="11">
        <f t="shared" si="82"/>
        <v>0</v>
      </c>
      <c r="C1328">
        <f ca="1">SUM($B$2:B1328)/A1328</f>
        <v>115.70877558511394</v>
      </c>
      <c r="E1328">
        <v>1326</v>
      </c>
      <c r="F1328" s="11">
        <f t="shared" si="83"/>
        <v>0</v>
      </c>
      <c r="G1328">
        <f ca="1">SUM($F$2:F1328)/E1328</f>
        <v>117.76516741786126</v>
      </c>
      <c r="I1328">
        <v>1326</v>
      </c>
      <c r="J1328">
        <f t="shared" si="84"/>
        <v>0</v>
      </c>
      <c r="K1328">
        <f ca="1">SUM($J$2:J1328)/I1328</f>
        <v>115.70877558511394</v>
      </c>
      <c r="M1328">
        <v>1326</v>
      </c>
      <c r="N1328">
        <f t="shared" si="85"/>
        <v>0</v>
      </c>
      <c r="O1328">
        <f ca="1">SUM($N$2:N1328)/M1328</f>
        <v>117.76516741786126</v>
      </c>
    </row>
    <row r="1329" spans="1:15" x14ac:dyDescent="0.2">
      <c r="A1329">
        <v>1327</v>
      </c>
      <c r="B1329" s="11">
        <f t="shared" si="82"/>
        <v>0</v>
      </c>
      <c r="C1329">
        <f ca="1">SUM($B$2:B1329)/A1329</f>
        <v>115.62157982355771</v>
      </c>
      <c r="E1329">
        <v>1327</v>
      </c>
      <c r="F1329" s="11">
        <f t="shared" si="83"/>
        <v>0</v>
      </c>
      <c r="G1329">
        <f ca="1">SUM($F$2:F1329)/E1329</f>
        <v>117.67642200157049</v>
      </c>
      <c r="I1329">
        <v>1327</v>
      </c>
      <c r="J1329">
        <f t="shared" si="84"/>
        <v>0</v>
      </c>
      <c r="K1329">
        <f ca="1">SUM($J$2:J1329)/I1329</f>
        <v>115.62157982355771</v>
      </c>
      <c r="M1329">
        <v>1327</v>
      </c>
      <c r="N1329">
        <f t="shared" si="85"/>
        <v>0</v>
      </c>
      <c r="O1329">
        <f ca="1">SUM($N$2:N1329)/M1329</f>
        <v>117.67642200157049</v>
      </c>
    </row>
    <row r="1330" spans="1:15" x14ac:dyDescent="0.2">
      <c r="A1330">
        <v>1328</v>
      </c>
      <c r="B1330" s="11">
        <f t="shared" si="82"/>
        <v>0</v>
      </c>
      <c r="C1330">
        <f ca="1">SUM($B$2:B1330)/A1330</f>
        <v>115.53451538091949</v>
      </c>
      <c r="E1330">
        <v>1328</v>
      </c>
      <c r="F1330" s="11">
        <f t="shared" si="83"/>
        <v>0</v>
      </c>
      <c r="G1330">
        <f ca="1">SUM($F$2:F1330)/E1330</f>
        <v>117.58781023801509</v>
      </c>
      <c r="I1330">
        <v>1328</v>
      </c>
      <c r="J1330">
        <f t="shared" si="84"/>
        <v>0</v>
      </c>
      <c r="K1330">
        <f ca="1">SUM($J$2:J1330)/I1330</f>
        <v>115.53451538091949</v>
      </c>
      <c r="M1330">
        <v>1328</v>
      </c>
      <c r="N1330">
        <f t="shared" si="85"/>
        <v>0</v>
      </c>
      <c r="O1330">
        <f ca="1">SUM($N$2:N1330)/M1330</f>
        <v>117.58781023801509</v>
      </c>
    </row>
    <row r="1331" spans="1:15" x14ac:dyDescent="0.2">
      <c r="A1331">
        <v>1329</v>
      </c>
      <c r="B1331" s="11">
        <f t="shared" si="82"/>
        <v>0</v>
      </c>
      <c r="C1331">
        <f ca="1">SUM($B$2:B1331)/A1331</f>
        <v>115.4475819607683</v>
      </c>
      <c r="E1331">
        <v>1329</v>
      </c>
      <c r="F1331" s="11">
        <f t="shared" si="83"/>
        <v>0</v>
      </c>
      <c r="G1331">
        <f ca="1">SUM($F$2:F1331)/E1331</f>
        <v>117.4993318254959</v>
      </c>
      <c r="I1331">
        <v>1329</v>
      </c>
      <c r="J1331">
        <f t="shared" si="84"/>
        <v>0</v>
      </c>
      <c r="K1331">
        <f ca="1">SUM($J$2:J1331)/I1331</f>
        <v>115.4475819607683</v>
      </c>
      <c r="M1331">
        <v>1329</v>
      </c>
      <c r="N1331">
        <f t="shared" si="85"/>
        <v>0</v>
      </c>
      <c r="O1331">
        <f ca="1">SUM($N$2:N1331)/M1331</f>
        <v>117.4993318254959</v>
      </c>
    </row>
    <row r="1332" spans="1:15" x14ac:dyDescent="0.2">
      <c r="A1332">
        <v>1330</v>
      </c>
      <c r="B1332" s="11">
        <f t="shared" si="82"/>
        <v>0</v>
      </c>
      <c r="C1332">
        <f ca="1">SUM($B$2:B1332)/A1332</f>
        <v>115.36077926756472</v>
      </c>
      <c r="E1332">
        <v>1330</v>
      </c>
      <c r="F1332" s="11">
        <f t="shared" si="83"/>
        <v>0</v>
      </c>
      <c r="G1332">
        <f ca="1">SUM($F$2:F1332)/E1332</f>
        <v>117.41098646322109</v>
      </c>
      <c r="I1332">
        <v>1330</v>
      </c>
      <c r="J1332">
        <f t="shared" si="84"/>
        <v>0</v>
      </c>
      <c r="K1332">
        <f ca="1">SUM($J$2:J1332)/I1332</f>
        <v>115.36077926756472</v>
      </c>
      <c r="M1332">
        <v>1330</v>
      </c>
      <c r="N1332">
        <f t="shared" si="85"/>
        <v>0</v>
      </c>
      <c r="O1332">
        <f ca="1">SUM($N$2:N1332)/M1332</f>
        <v>117.41098646322109</v>
      </c>
    </row>
    <row r="1333" spans="1:15" x14ac:dyDescent="0.2">
      <c r="A1333">
        <v>1331</v>
      </c>
      <c r="B1333" s="11">
        <f t="shared" si="82"/>
        <v>0</v>
      </c>
      <c r="C1333">
        <f ca="1">SUM($B$2:B1333)/A1333</f>
        <v>115.27410700665746</v>
      </c>
      <c r="E1333">
        <v>1331</v>
      </c>
      <c r="F1333" s="11">
        <f t="shared" si="83"/>
        <v>0</v>
      </c>
      <c r="G1333">
        <f ca="1">SUM($F$2:F1333)/E1333</f>
        <v>117.32277385130281</v>
      </c>
      <c r="I1333">
        <v>1331</v>
      </c>
      <c r="J1333">
        <f t="shared" si="84"/>
        <v>0</v>
      </c>
      <c r="K1333">
        <f ca="1">SUM($J$2:J1333)/I1333</f>
        <v>115.27410700665746</v>
      </c>
      <c r="M1333">
        <v>1331</v>
      </c>
      <c r="N1333">
        <f t="shared" si="85"/>
        <v>0</v>
      </c>
      <c r="O1333">
        <f ca="1">SUM($N$2:N1333)/M1333</f>
        <v>117.32277385130281</v>
      </c>
    </row>
    <row r="1334" spans="1:15" x14ac:dyDescent="0.2">
      <c r="A1334">
        <v>1332</v>
      </c>
      <c r="B1334" s="11">
        <f t="shared" si="82"/>
        <v>0</v>
      </c>
      <c r="C1334">
        <f ca="1">SUM($B$2:B1334)/A1334</f>
        <v>115.18756488428009</v>
      </c>
      <c r="E1334">
        <v>1332</v>
      </c>
      <c r="F1334" s="11">
        <f t="shared" si="83"/>
        <v>0</v>
      </c>
      <c r="G1334">
        <f ca="1">SUM($F$2:F1334)/E1334</f>
        <v>117.23469369075379</v>
      </c>
      <c r="I1334">
        <v>1332</v>
      </c>
      <c r="J1334">
        <f t="shared" si="84"/>
        <v>0</v>
      </c>
      <c r="K1334">
        <f ca="1">SUM($J$2:J1334)/I1334</f>
        <v>115.18756488428009</v>
      </c>
      <c r="M1334">
        <v>1332</v>
      </c>
      <c r="N1334">
        <f t="shared" si="85"/>
        <v>0</v>
      </c>
      <c r="O1334">
        <f ca="1">SUM($N$2:N1334)/M1334</f>
        <v>117.23469369075379</v>
      </c>
    </row>
    <row r="1335" spans="1:15" x14ac:dyDescent="0.2">
      <c r="A1335">
        <v>1333</v>
      </c>
      <c r="B1335" s="11">
        <f t="shared" si="82"/>
        <v>0</v>
      </c>
      <c r="C1335">
        <f ca="1">SUM($B$2:B1335)/A1335</f>
        <v>115.1011526075477</v>
      </c>
      <c r="E1335">
        <v>1333</v>
      </c>
      <c r="F1335" s="11">
        <f t="shared" si="83"/>
        <v>0</v>
      </c>
      <c r="G1335">
        <f ca="1">SUM($F$2:F1335)/E1335</f>
        <v>117.1467456834839</v>
      </c>
      <c r="I1335">
        <v>1333</v>
      </c>
      <c r="J1335">
        <f t="shared" si="84"/>
        <v>0</v>
      </c>
      <c r="K1335">
        <f ca="1">SUM($J$2:J1335)/I1335</f>
        <v>115.1011526075477</v>
      </c>
      <c r="M1335">
        <v>1333</v>
      </c>
      <c r="N1335">
        <f t="shared" si="85"/>
        <v>0</v>
      </c>
      <c r="O1335">
        <f ca="1">SUM($N$2:N1335)/M1335</f>
        <v>117.1467456834839</v>
      </c>
    </row>
    <row r="1336" spans="1:15" x14ac:dyDescent="0.2">
      <c r="A1336">
        <v>1334</v>
      </c>
      <c r="B1336" s="11">
        <f t="shared" si="82"/>
        <v>0</v>
      </c>
      <c r="C1336">
        <f ca="1">SUM($B$2:B1336)/A1336</f>
        <v>115.01486988445359</v>
      </c>
      <c r="E1336">
        <v>1334</v>
      </c>
      <c r="F1336" s="11">
        <f t="shared" si="83"/>
        <v>0</v>
      </c>
      <c r="G1336">
        <f ca="1">SUM($F$2:F1336)/E1336</f>
        <v>117.05892953229689</v>
      </c>
      <c r="I1336">
        <v>1334</v>
      </c>
      <c r="J1336">
        <f t="shared" si="84"/>
        <v>0</v>
      </c>
      <c r="K1336">
        <f ca="1">SUM($J$2:J1336)/I1336</f>
        <v>115.01486988445359</v>
      </c>
      <c r="M1336">
        <v>1334</v>
      </c>
      <c r="N1336">
        <f t="shared" si="85"/>
        <v>0</v>
      </c>
      <c r="O1336">
        <f ca="1">SUM($N$2:N1336)/M1336</f>
        <v>117.05892953229689</v>
      </c>
    </row>
    <row r="1337" spans="1:15" x14ac:dyDescent="0.2">
      <c r="A1337">
        <v>1335</v>
      </c>
      <c r="B1337" s="11">
        <f t="shared" si="82"/>
        <v>0</v>
      </c>
      <c r="C1337">
        <f ca="1">SUM($B$2:B1337)/A1337</f>
        <v>114.92871642386598</v>
      </c>
      <c r="E1337">
        <v>1335</v>
      </c>
      <c r="F1337" s="11">
        <f t="shared" si="83"/>
        <v>0</v>
      </c>
      <c r="G1337">
        <f ca="1">SUM($F$2:F1337)/E1337</f>
        <v>116.97124494088692</v>
      </c>
      <c r="I1337">
        <v>1335</v>
      </c>
      <c r="J1337">
        <f t="shared" si="84"/>
        <v>0</v>
      </c>
      <c r="K1337">
        <f ca="1">SUM($J$2:J1337)/I1337</f>
        <v>114.92871642386598</v>
      </c>
      <c r="M1337">
        <v>1335</v>
      </c>
      <c r="N1337">
        <f t="shared" si="85"/>
        <v>0</v>
      </c>
      <c r="O1337">
        <f ca="1">SUM($N$2:N1337)/M1337</f>
        <v>116.97124494088692</v>
      </c>
    </row>
    <row r="1338" spans="1:15" x14ac:dyDescent="0.2">
      <c r="A1338">
        <v>1336</v>
      </c>
      <c r="B1338" s="11">
        <f t="shared" si="82"/>
        <v>0</v>
      </c>
      <c r="C1338">
        <f ca="1">SUM($B$2:B1338)/A1338</f>
        <v>114.84269193552475</v>
      </c>
      <c r="E1338">
        <v>1336</v>
      </c>
      <c r="F1338" s="11">
        <f t="shared" si="83"/>
        <v>0</v>
      </c>
      <c r="G1338">
        <f ca="1">SUM($F$2:F1338)/E1338</f>
        <v>116.88369161383537</v>
      </c>
      <c r="I1338">
        <v>1336</v>
      </c>
      <c r="J1338">
        <f t="shared" si="84"/>
        <v>0</v>
      </c>
      <c r="K1338">
        <f ca="1">SUM($J$2:J1338)/I1338</f>
        <v>114.84269193552475</v>
      </c>
      <c r="M1338">
        <v>1336</v>
      </c>
      <c r="N1338">
        <f t="shared" si="85"/>
        <v>0</v>
      </c>
      <c r="O1338">
        <f ca="1">SUM($N$2:N1338)/M1338</f>
        <v>116.88369161383537</v>
      </c>
    </row>
    <row r="1339" spans="1:15" x14ac:dyDescent="0.2">
      <c r="A1339">
        <v>1337</v>
      </c>
      <c r="B1339" s="11">
        <f t="shared" si="82"/>
        <v>0</v>
      </c>
      <c r="C1339">
        <f ca="1">SUM($B$2:B1339)/A1339</f>
        <v>114.75679613003821</v>
      </c>
      <c r="E1339">
        <v>1337</v>
      </c>
      <c r="F1339" s="11">
        <f t="shared" si="83"/>
        <v>0</v>
      </c>
      <c r="G1339">
        <f ca="1">SUM($F$2:F1339)/E1339</f>
        <v>116.79626925660736</v>
      </c>
      <c r="I1339">
        <v>1337</v>
      </c>
      <c r="J1339">
        <f t="shared" si="84"/>
        <v>0</v>
      </c>
      <c r="K1339">
        <f ca="1">SUM($J$2:J1339)/I1339</f>
        <v>114.75679613003821</v>
      </c>
      <c r="M1339">
        <v>1337</v>
      </c>
      <c r="N1339">
        <f t="shared" si="85"/>
        <v>0</v>
      </c>
      <c r="O1339">
        <f ca="1">SUM($N$2:N1339)/M1339</f>
        <v>116.79626925660736</v>
      </c>
    </row>
    <row r="1340" spans="1:15" x14ac:dyDescent="0.2">
      <c r="A1340">
        <v>1338</v>
      </c>
      <c r="B1340" s="11">
        <f t="shared" si="82"/>
        <v>0</v>
      </c>
      <c r="C1340">
        <f ca="1">SUM($B$2:B1340)/A1340</f>
        <v>114.67102871887973</v>
      </c>
      <c r="E1340">
        <v>1338</v>
      </c>
      <c r="F1340" s="11">
        <f t="shared" si="83"/>
        <v>0</v>
      </c>
      <c r="G1340">
        <f ca="1">SUM($F$2:F1340)/E1340</f>
        <v>116.70897757554862</v>
      </c>
      <c r="I1340">
        <v>1338</v>
      </c>
      <c r="J1340">
        <f t="shared" si="84"/>
        <v>0</v>
      </c>
      <c r="K1340">
        <f ca="1">SUM($J$2:J1340)/I1340</f>
        <v>114.67102871887973</v>
      </c>
      <c r="M1340">
        <v>1338</v>
      </c>
      <c r="N1340">
        <f t="shared" si="85"/>
        <v>0</v>
      </c>
      <c r="O1340">
        <f ca="1">SUM($N$2:N1340)/M1340</f>
        <v>116.70897757554862</v>
      </c>
    </row>
    <row r="1341" spans="1:15" x14ac:dyDescent="0.2">
      <c r="A1341">
        <v>1339</v>
      </c>
      <c r="B1341" s="11">
        <f t="shared" si="82"/>
        <v>0</v>
      </c>
      <c r="C1341">
        <f ca="1">SUM($B$2:B1341)/A1341</f>
        <v>114.58538941438468</v>
      </c>
      <c r="E1341">
        <v>1339</v>
      </c>
      <c r="F1341" s="11">
        <f t="shared" si="83"/>
        <v>0</v>
      </c>
      <c r="G1341">
        <f ca="1">SUM($F$2:F1341)/E1341</f>
        <v>116.62181627788203</v>
      </c>
      <c r="I1341">
        <v>1339</v>
      </c>
      <c r="J1341">
        <f t="shared" si="84"/>
        <v>0</v>
      </c>
      <c r="K1341">
        <f ca="1">SUM($J$2:J1341)/I1341</f>
        <v>114.58538941438468</v>
      </c>
      <c r="M1341">
        <v>1339</v>
      </c>
      <c r="N1341">
        <f t="shared" si="85"/>
        <v>0</v>
      </c>
      <c r="O1341">
        <f ca="1">SUM($N$2:N1341)/M1341</f>
        <v>116.62181627788203</v>
      </c>
    </row>
    <row r="1342" spans="1:15" x14ac:dyDescent="0.2">
      <c r="A1342">
        <v>1340</v>
      </c>
      <c r="B1342" s="11">
        <f t="shared" si="82"/>
        <v>0</v>
      </c>
      <c r="C1342">
        <f ca="1">SUM($B$2:B1342)/A1342</f>
        <v>114.49987792974707</v>
      </c>
      <c r="E1342">
        <v>1340</v>
      </c>
      <c r="F1342" s="11">
        <f t="shared" si="83"/>
        <v>0</v>
      </c>
      <c r="G1342">
        <f ca="1">SUM($F$2:F1342)/E1342</f>
        <v>116.5347850717045</v>
      </c>
      <c r="I1342">
        <v>1340</v>
      </c>
      <c r="J1342">
        <f t="shared" si="84"/>
        <v>0</v>
      </c>
      <c r="K1342">
        <f ca="1">SUM($J$2:J1342)/I1342</f>
        <v>114.49987792974707</v>
      </c>
      <c r="M1342">
        <v>1340</v>
      </c>
      <c r="N1342">
        <f t="shared" si="85"/>
        <v>0</v>
      </c>
      <c r="O1342">
        <f ca="1">SUM($N$2:N1342)/M1342</f>
        <v>116.5347850717045</v>
      </c>
    </row>
    <row r="1343" spans="1:15" x14ac:dyDescent="0.2">
      <c r="A1343">
        <v>1341</v>
      </c>
      <c r="B1343" s="11">
        <f t="shared" si="82"/>
        <v>0</v>
      </c>
      <c r="C1343">
        <f ca="1">SUM($B$2:B1343)/A1343</f>
        <v>114.41449397901647</v>
      </c>
      <c r="E1343">
        <v>1341</v>
      </c>
      <c r="F1343" s="11">
        <f t="shared" si="83"/>
        <v>0</v>
      </c>
      <c r="G1343">
        <f ca="1">SUM($F$2:F1343)/E1343</f>
        <v>116.44788366598362</v>
      </c>
      <c r="I1343">
        <v>1341</v>
      </c>
      <c r="J1343">
        <f t="shared" si="84"/>
        <v>0</v>
      </c>
      <c r="K1343">
        <f ca="1">SUM($J$2:J1343)/I1343</f>
        <v>114.41449397901647</v>
      </c>
      <c r="M1343">
        <v>1341</v>
      </c>
      <c r="N1343">
        <f t="shared" si="85"/>
        <v>0</v>
      </c>
      <c r="O1343">
        <f ca="1">SUM($N$2:N1343)/M1343</f>
        <v>116.44788366598362</v>
      </c>
    </row>
    <row r="1344" spans="1:15" x14ac:dyDescent="0.2">
      <c r="A1344">
        <v>1342</v>
      </c>
      <c r="B1344" s="11">
        <f t="shared" si="82"/>
        <v>0</v>
      </c>
      <c r="C1344">
        <f ca="1">SUM($B$2:B1344)/A1344</f>
        <v>114.32923727709469</v>
      </c>
      <c r="E1344">
        <v>1342</v>
      </c>
      <c r="F1344" s="11">
        <f t="shared" si="83"/>
        <v>0</v>
      </c>
      <c r="G1344">
        <f ca="1">SUM($F$2:F1344)/E1344</f>
        <v>116.36111177055443</v>
      </c>
      <c r="I1344">
        <v>1342</v>
      </c>
      <c r="J1344">
        <f t="shared" si="84"/>
        <v>0</v>
      </c>
      <c r="K1344">
        <f ca="1">SUM($J$2:J1344)/I1344</f>
        <v>114.32923727709469</v>
      </c>
      <c r="M1344">
        <v>1342</v>
      </c>
      <c r="N1344">
        <f t="shared" si="85"/>
        <v>0</v>
      </c>
      <c r="O1344">
        <f ca="1">SUM($N$2:N1344)/M1344</f>
        <v>116.36111177055443</v>
      </c>
    </row>
    <row r="1345" spans="1:15" x14ac:dyDescent="0.2">
      <c r="A1345">
        <v>1343</v>
      </c>
      <c r="B1345" s="11">
        <f t="shared" si="82"/>
        <v>0</v>
      </c>
      <c r="C1345">
        <f ca="1">SUM($B$2:B1345)/A1345</f>
        <v>114.24410753973275</v>
      </c>
      <c r="E1345">
        <v>1343</v>
      </c>
      <c r="F1345" s="11">
        <f t="shared" si="83"/>
        <v>0</v>
      </c>
      <c r="G1345">
        <f ca="1">SUM($F$2:F1345)/E1345</f>
        <v>116.27446909611619</v>
      </c>
      <c r="I1345">
        <v>1343</v>
      </c>
      <c r="J1345">
        <f t="shared" si="84"/>
        <v>0</v>
      </c>
      <c r="K1345">
        <f ca="1">SUM($J$2:J1345)/I1345</f>
        <v>114.24410753973275</v>
      </c>
      <c r="M1345">
        <v>1343</v>
      </c>
      <c r="N1345">
        <f t="shared" si="85"/>
        <v>0</v>
      </c>
      <c r="O1345">
        <f ca="1">SUM($N$2:N1345)/M1345</f>
        <v>116.27446909611619</v>
      </c>
    </row>
    <row r="1346" spans="1:15" x14ac:dyDescent="0.2">
      <c r="A1346">
        <v>1344</v>
      </c>
      <c r="B1346" s="11">
        <f t="shared" si="82"/>
        <v>0</v>
      </c>
      <c r="C1346">
        <f ca="1">SUM($B$2:B1346)/A1346</f>
        <v>114.15910448352759</v>
      </c>
      <c r="E1346">
        <v>1344</v>
      </c>
      <c r="F1346" s="11">
        <f t="shared" si="83"/>
        <v>0</v>
      </c>
      <c r="G1346">
        <f ca="1">SUM($F$2:F1346)/E1346</f>
        <v>116.1879553542292</v>
      </c>
      <c r="I1346">
        <v>1344</v>
      </c>
      <c r="J1346">
        <f t="shared" si="84"/>
        <v>0</v>
      </c>
      <c r="K1346">
        <f ca="1">SUM($J$2:J1346)/I1346</f>
        <v>114.15910448352759</v>
      </c>
      <c r="M1346">
        <v>1344</v>
      </c>
      <c r="N1346">
        <f t="shared" si="85"/>
        <v>0</v>
      </c>
      <c r="O1346">
        <f ca="1">SUM($N$2:N1346)/M1346</f>
        <v>116.1879553542292</v>
      </c>
    </row>
    <row r="1347" spans="1:15" x14ac:dyDescent="0.2">
      <c r="A1347">
        <v>1345</v>
      </c>
      <c r="B1347" s="11">
        <f t="shared" ref="B1347:B1410" si="86">IF(ARCap-IF((A1347-IF(A1347/180&gt;1,ROUNDDOWN(A1347/180,0)*180,0))/30&lt;=1,IF(200*15*BaseSpeed/60*(YellowConnects+WhiteMHConnects+WhiteOHConnects+HoJConnects+WindfuryConnects+SSConnects+IronfoeConnects)*(A1347-180*ROUNDDOWN(A1347/180,0))&gt;1200,1200,200*15*BaseSpeed/60*(YellowConnects+WhiteMHConnects+WhiteOHConnects+HoJConnects+WindfuryConnects+SSConnects+IronfoeConnects)*(A1347-180*ROUNDDOWN(A1347/180,0))),0)&lt;0,ARCap,IF((A1347-IF(A1347/180&gt;1,ROUNDDOWN(A1346/180,0)*180,0))/30&lt;=1,IF(200*15*BaseSpeed/60*(YellowConnects+WhiteMHConnects+WhiteOHConnects+HoJConnects+WindfuryConnects+SSConnects+IronfoeConnects)*(A1347-180*ROUNDDOWN(A1347/180,0))&gt;1200,1200,200*15*BaseSpeed/60*(YellowConnects+WhiteMHConnects+WhiteOHConnects+HoJConnects+WindfuryConnects+SSConnects+IronfoeConnects)*(A1347-180*ROUNDDOWN(A1347/180,0))),0))</f>
        <v>0</v>
      </c>
      <c r="C1347">
        <f ca="1">SUM($B$2:B1347)/A1347</f>
        <v>114.07422782591902</v>
      </c>
      <c r="E1347">
        <v>1345</v>
      </c>
      <c r="F1347" s="11">
        <f t="shared" ref="F1347:F1410" si="87">IF(ARCap-IF((A1347-IF(A1347/180&gt;1,ROUNDDOWN(A1347/180,0)*180,0))/30&lt;=1,IF(200*15*BaseSpeed/60*(YellowConnects20+WhiteMHConnects20+WhiteOHConnects20+HoJConnects20+WindfuryConnects20+SSConnects20+IronfoeConnects20)*(A1347-180*ROUNDDOWN(A1347/180,0))&gt;1200,1200,200*15*BaseSpeed/60*(YellowConnects20+WhiteMHConnects20+WhiteOHConnects20+HoJConnects20+WindfuryConnects20+SSConnects20+IronfoeConnects20)*(A1347-180*ROUNDDOWN(A1347/180,0))),0)&lt;0,ARCap,IF((A1347-IF(A1347/180&gt;1,ROUNDDOWN(A1347/180,0)*180,0))/30&lt;=1,IF(200*15*BaseSpeed/60*(YellowConnects20+WhiteMHConnects20+WhiteOHConnects20+HoJConnects20+WindfuryConnects20+SSConnects20+IronfoeConnects20)*(A1347-180*ROUNDDOWN(A1347/180,0))&gt;1200,1200,200*15*BaseSpeed/60*(YellowConnects20+WhiteMHConnects20+WhiteOHConnects20+HoJConnects20+WindfuryConnects20+SSConnects20+IronfoeConnects20)*(A1347-180*ROUNDDOWN(A1347/180,0))),0))</f>
        <v>0</v>
      </c>
      <c r="G1347">
        <f ca="1">SUM($F$2:F1347)/E1347</f>
        <v>116.10157025731155</v>
      </c>
      <c r="I1347">
        <v>1345</v>
      </c>
      <c r="J1347">
        <f t="shared" ref="J1347:J1410" si="88">IF(ARCap-(B1347+BRE)&lt;0,ARCap,B1347+BRE)</f>
        <v>0</v>
      </c>
      <c r="K1347">
        <f ca="1">SUM($J$2:J1347)/I1347</f>
        <v>114.07422782591902</v>
      </c>
      <c r="M1347">
        <v>1345</v>
      </c>
      <c r="N1347">
        <f t="shared" ref="N1347:N1410" si="89">IF(ARCap-(F1347+BREArmorReduction20)&lt;0,ARCap,F1347+BREArmorReduction20)</f>
        <v>0</v>
      </c>
      <c r="O1347">
        <f ca="1">SUM($N$2:N1347)/M1347</f>
        <v>116.10157025731155</v>
      </c>
    </row>
    <row r="1348" spans="1:15" x14ac:dyDescent="0.2">
      <c r="A1348">
        <v>1346</v>
      </c>
      <c r="B1348" s="11">
        <f t="shared" si="86"/>
        <v>0</v>
      </c>
      <c r="C1348">
        <f ca="1">SUM($B$2:B1348)/A1348</f>
        <v>113.98947728518654</v>
      </c>
      <c r="E1348">
        <v>1346</v>
      </c>
      <c r="F1348" s="11">
        <f t="shared" si="87"/>
        <v>0</v>
      </c>
      <c r="G1348">
        <f ca="1">SUM($F$2:F1348)/E1348</f>
        <v>116.01531351863599</v>
      </c>
      <c r="I1348">
        <v>1346</v>
      </c>
      <c r="J1348">
        <f t="shared" si="88"/>
        <v>0</v>
      </c>
      <c r="K1348">
        <f ca="1">SUM($J$2:J1348)/I1348</f>
        <v>113.98947728518654</v>
      </c>
      <c r="M1348">
        <v>1346</v>
      </c>
      <c r="N1348">
        <f t="shared" si="89"/>
        <v>0</v>
      </c>
      <c r="O1348">
        <f ca="1">SUM($N$2:N1348)/M1348</f>
        <v>116.01531351863599</v>
      </c>
    </row>
    <row r="1349" spans="1:15" x14ac:dyDescent="0.2">
      <c r="A1349">
        <v>1347</v>
      </c>
      <c r="B1349" s="11">
        <f t="shared" si="86"/>
        <v>0</v>
      </c>
      <c r="C1349">
        <f ca="1">SUM($B$2:B1349)/A1349</f>
        <v>113.90485258044623</v>
      </c>
      <c r="E1349">
        <v>1347</v>
      </c>
      <c r="F1349" s="11">
        <f t="shared" si="87"/>
        <v>0</v>
      </c>
      <c r="G1349">
        <f ca="1">SUM($F$2:F1349)/E1349</f>
        <v>115.92918485232669</v>
      </c>
      <c r="I1349">
        <v>1347</v>
      </c>
      <c r="J1349">
        <f t="shared" si="88"/>
        <v>0</v>
      </c>
      <c r="K1349">
        <f ca="1">SUM($J$2:J1349)/I1349</f>
        <v>113.90485258044623</v>
      </c>
      <c r="M1349">
        <v>1347</v>
      </c>
      <c r="N1349">
        <f t="shared" si="89"/>
        <v>0</v>
      </c>
      <c r="O1349">
        <f ca="1">SUM($N$2:N1349)/M1349</f>
        <v>115.92918485232669</v>
      </c>
    </row>
    <row r="1350" spans="1:15" x14ac:dyDescent="0.2">
      <c r="A1350">
        <v>1348</v>
      </c>
      <c r="B1350" s="11">
        <f t="shared" si="86"/>
        <v>0</v>
      </c>
      <c r="C1350">
        <f ca="1">SUM($B$2:B1350)/A1350</f>
        <v>113.82035343164769</v>
      </c>
      <c r="E1350">
        <v>1348</v>
      </c>
      <c r="F1350" s="11">
        <f t="shared" si="87"/>
        <v>0</v>
      </c>
      <c r="G1350">
        <f ca="1">SUM($F$2:F1350)/E1350</f>
        <v>115.84318397335612</v>
      </c>
      <c r="I1350">
        <v>1348</v>
      </c>
      <c r="J1350">
        <f t="shared" si="88"/>
        <v>0</v>
      </c>
      <c r="K1350">
        <f ca="1">SUM($J$2:J1350)/I1350</f>
        <v>113.82035343164769</v>
      </c>
      <c r="M1350">
        <v>1348</v>
      </c>
      <c r="N1350">
        <f t="shared" si="89"/>
        <v>0</v>
      </c>
      <c r="O1350">
        <f ca="1">SUM($N$2:N1350)/M1350</f>
        <v>115.84318397335612</v>
      </c>
    </row>
    <row r="1351" spans="1:15" x14ac:dyDescent="0.2">
      <c r="A1351">
        <v>1349</v>
      </c>
      <c r="B1351" s="11">
        <f t="shared" si="86"/>
        <v>0</v>
      </c>
      <c r="C1351">
        <f ca="1">SUM($B$2:B1351)/A1351</f>
        <v>113.73597955957085</v>
      </c>
      <c r="E1351">
        <v>1349</v>
      </c>
      <c r="F1351" s="11">
        <f t="shared" si="87"/>
        <v>0</v>
      </c>
      <c r="G1351">
        <f ca="1">SUM($F$2:F1351)/E1351</f>
        <v>115.75731059754192</v>
      </c>
      <c r="I1351">
        <v>1349</v>
      </c>
      <c r="J1351">
        <f t="shared" si="88"/>
        <v>0</v>
      </c>
      <c r="K1351">
        <f ca="1">SUM($J$2:J1351)/I1351</f>
        <v>113.73597955957085</v>
      </c>
      <c r="M1351">
        <v>1349</v>
      </c>
      <c r="N1351">
        <f t="shared" si="89"/>
        <v>0</v>
      </c>
      <c r="O1351">
        <f ca="1">SUM($N$2:N1351)/M1351</f>
        <v>115.75731059754192</v>
      </c>
    </row>
    <row r="1352" spans="1:15" x14ac:dyDescent="0.2">
      <c r="A1352">
        <v>1350</v>
      </c>
      <c r="B1352" s="11">
        <f t="shared" si="86"/>
        <v>0</v>
      </c>
      <c r="C1352">
        <f ca="1">SUM($B$2:B1352)/A1352</f>
        <v>113.65173068582303</v>
      </c>
      <c r="E1352">
        <v>1350</v>
      </c>
      <c r="F1352" s="11">
        <f t="shared" si="87"/>
        <v>0</v>
      </c>
      <c r="G1352">
        <f ca="1">SUM($F$2:F1352)/E1352</f>
        <v>115.67156444154374</v>
      </c>
      <c r="I1352">
        <v>1350</v>
      </c>
      <c r="J1352">
        <f t="shared" si="88"/>
        <v>0</v>
      </c>
      <c r="K1352">
        <f ca="1">SUM($J$2:J1352)/I1352</f>
        <v>113.65173068582303</v>
      </c>
      <c r="M1352">
        <v>1350</v>
      </c>
      <c r="N1352">
        <f t="shared" si="89"/>
        <v>0</v>
      </c>
      <c r="O1352">
        <f ca="1">SUM($N$2:N1352)/M1352</f>
        <v>115.67156444154374</v>
      </c>
    </row>
    <row r="1353" spans="1:15" x14ac:dyDescent="0.2">
      <c r="A1353">
        <v>1351</v>
      </c>
      <c r="B1353" s="11">
        <f t="shared" si="86"/>
        <v>0</v>
      </c>
      <c r="C1353">
        <f ca="1">SUM($B$2:B1353)/A1353</f>
        <v>113.56760653283574</v>
      </c>
      <c r="E1353">
        <v>1351</v>
      </c>
      <c r="F1353" s="11">
        <f t="shared" si="87"/>
        <v>0</v>
      </c>
      <c r="G1353">
        <f ca="1">SUM($F$2:F1353)/E1353</f>
        <v>115.58594522286013</v>
      </c>
      <c r="I1353">
        <v>1351</v>
      </c>
      <c r="J1353">
        <f t="shared" si="88"/>
        <v>0</v>
      </c>
      <c r="K1353">
        <f ca="1">SUM($J$2:J1353)/I1353</f>
        <v>113.56760653283574</v>
      </c>
      <c r="M1353">
        <v>1351</v>
      </c>
      <c r="N1353">
        <f t="shared" si="89"/>
        <v>0</v>
      </c>
      <c r="O1353">
        <f ca="1">SUM($N$2:N1353)/M1353</f>
        <v>115.58594522286013</v>
      </c>
    </row>
    <row r="1354" spans="1:15" x14ac:dyDescent="0.2">
      <c r="A1354">
        <v>1352</v>
      </c>
      <c r="B1354" s="11">
        <f t="shared" si="86"/>
        <v>0</v>
      </c>
      <c r="C1354">
        <f ca="1">SUM($B$2:B1354)/A1354</f>
        <v>113.48360682386175</v>
      </c>
      <c r="E1354">
        <v>1352</v>
      </c>
      <c r="F1354" s="11">
        <f t="shared" si="87"/>
        <v>0</v>
      </c>
      <c r="G1354">
        <f ca="1">SUM($F$2:F1354)/E1354</f>
        <v>115.50045265982547</v>
      </c>
      <c r="I1354">
        <v>1352</v>
      </c>
      <c r="J1354">
        <f t="shared" si="88"/>
        <v>0</v>
      </c>
      <c r="K1354">
        <f ca="1">SUM($J$2:J1354)/I1354</f>
        <v>113.48360682386175</v>
      </c>
      <c r="M1354">
        <v>1352</v>
      </c>
      <c r="N1354">
        <f t="shared" si="89"/>
        <v>0</v>
      </c>
      <c r="O1354">
        <f ca="1">SUM($N$2:N1354)/M1354</f>
        <v>115.50045265982547</v>
      </c>
    </row>
    <row r="1355" spans="1:15" x14ac:dyDescent="0.2">
      <c r="A1355">
        <v>1353</v>
      </c>
      <c r="B1355" s="11">
        <f t="shared" si="86"/>
        <v>0</v>
      </c>
      <c r="C1355">
        <f ca="1">SUM($B$2:B1355)/A1355</f>
        <v>113.39973128297197</v>
      </c>
      <c r="E1355">
        <v>1353</v>
      </c>
      <c r="F1355" s="11">
        <f t="shared" si="87"/>
        <v>0</v>
      </c>
      <c r="G1355">
        <f ca="1">SUM($F$2:F1355)/E1355</f>
        <v>115.41508647160683</v>
      </c>
      <c r="I1355">
        <v>1353</v>
      </c>
      <c r="J1355">
        <f t="shared" si="88"/>
        <v>0</v>
      </c>
      <c r="K1355">
        <f ca="1">SUM($J$2:J1355)/I1355</f>
        <v>113.39973128297197</v>
      </c>
      <c r="M1355">
        <v>1353</v>
      </c>
      <c r="N1355">
        <f t="shared" si="89"/>
        <v>0</v>
      </c>
      <c r="O1355">
        <f ca="1">SUM($N$2:N1355)/M1355</f>
        <v>115.41508647160683</v>
      </c>
    </row>
    <row r="1356" spans="1:15" x14ac:dyDescent="0.2">
      <c r="A1356">
        <v>1354</v>
      </c>
      <c r="B1356" s="11">
        <f t="shared" si="86"/>
        <v>0</v>
      </c>
      <c r="C1356">
        <f ca="1">SUM($B$2:B1356)/A1356</f>
        <v>113.3159796350525</v>
      </c>
      <c r="E1356">
        <v>1354</v>
      </c>
      <c r="F1356" s="11">
        <f t="shared" si="87"/>
        <v>0</v>
      </c>
      <c r="G1356">
        <f ca="1">SUM($F$2:F1356)/E1356</f>
        <v>115.32984637820091</v>
      </c>
      <c r="I1356">
        <v>1354</v>
      </c>
      <c r="J1356">
        <f t="shared" si="88"/>
        <v>0</v>
      </c>
      <c r="K1356">
        <f ca="1">SUM($J$2:J1356)/I1356</f>
        <v>113.3159796350525</v>
      </c>
      <c r="M1356">
        <v>1354</v>
      </c>
      <c r="N1356">
        <f t="shared" si="89"/>
        <v>0</v>
      </c>
      <c r="O1356">
        <f ca="1">SUM($N$2:N1356)/M1356</f>
        <v>115.32984637820091</v>
      </c>
    </row>
    <row r="1357" spans="1:15" x14ac:dyDescent="0.2">
      <c r="A1357">
        <v>1355</v>
      </c>
      <c r="B1357" s="11">
        <f t="shared" si="86"/>
        <v>0</v>
      </c>
      <c r="C1357">
        <f ca="1">SUM($B$2:B1357)/A1357</f>
        <v>113.23235160580154</v>
      </c>
      <c r="E1357">
        <v>1355</v>
      </c>
      <c r="F1357" s="11">
        <f t="shared" si="87"/>
        <v>0</v>
      </c>
      <c r="G1357">
        <f ca="1">SUM($F$2:F1357)/E1357</f>
        <v>115.24473210043102</v>
      </c>
      <c r="I1357">
        <v>1355</v>
      </c>
      <c r="J1357">
        <f t="shared" si="88"/>
        <v>0</v>
      </c>
      <c r="K1357">
        <f ca="1">SUM($J$2:J1357)/I1357</f>
        <v>113.23235160580154</v>
      </c>
      <c r="M1357">
        <v>1355</v>
      </c>
      <c r="N1357">
        <f t="shared" si="89"/>
        <v>0</v>
      </c>
      <c r="O1357">
        <f ca="1">SUM($N$2:N1357)/M1357</f>
        <v>115.24473210043102</v>
      </c>
    </row>
    <row r="1358" spans="1:15" x14ac:dyDescent="0.2">
      <c r="A1358">
        <v>1356</v>
      </c>
      <c r="B1358" s="11">
        <f t="shared" si="86"/>
        <v>0</v>
      </c>
      <c r="C1358">
        <f ca="1">SUM($B$2:B1358)/A1358</f>
        <v>113.14884692172646</v>
      </c>
      <c r="E1358">
        <v>1356</v>
      </c>
      <c r="F1358" s="11">
        <f t="shared" si="87"/>
        <v>0</v>
      </c>
      <c r="G1358">
        <f ca="1">SUM($F$2:F1358)/E1358</f>
        <v>115.15974335994399</v>
      </c>
      <c r="I1358">
        <v>1356</v>
      </c>
      <c r="J1358">
        <f t="shared" si="88"/>
        <v>0</v>
      </c>
      <c r="K1358">
        <f ca="1">SUM($J$2:J1358)/I1358</f>
        <v>113.14884692172646</v>
      </c>
      <c r="M1358">
        <v>1356</v>
      </c>
      <c r="N1358">
        <f t="shared" si="89"/>
        <v>0</v>
      </c>
      <c r="O1358">
        <f ca="1">SUM($N$2:N1358)/M1358</f>
        <v>115.15974335994399</v>
      </c>
    </row>
    <row r="1359" spans="1:15" x14ac:dyDescent="0.2">
      <c r="A1359">
        <v>1357</v>
      </c>
      <c r="B1359" s="11">
        <f t="shared" si="86"/>
        <v>0</v>
      </c>
      <c r="C1359">
        <f ca="1">SUM($B$2:B1359)/A1359</f>
        <v>113.06546531014081</v>
      </c>
      <c r="E1359">
        <v>1357</v>
      </c>
      <c r="F1359" s="11">
        <f t="shared" si="87"/>
        <v>0</v>
      </c>
      <c r="G1359">
        <f ca="1">SUM($F$2:F1359)/E1359</f>
        <v>115.0748798792071</v>
      </c>
      <c r="I1359">
        <v>1357</v>
      </c>
      <c r="J1359">
        <f t="shared" si="88"/>
        <v>0</v>
      </c>
      <c r="K1359">
        <f ca="1">SUM($J$2:J1359)/I1359</f>
        <v>113.06546531014081</v>
      </c>
      <c r="M1359">
        <v>1357</v>
      </c>
      <c r="N1359">
        <f t="shared" si="89"/>
        <v>0</v>
      </c>
      <c r="O1359">
        <f ca="1">SUM($N$2:N1359)/M1359</f>
        <v>115.0748798792071</v>
      </c>
    </row>
    <row r="1360" spans="1:15" x14ac:dyDescent="0.2">
      <c r="A1360">
        <v>1358</v>
      </c>
      <c r="B1360" s="11">
        <f t="shared" si="86"/>
        <v>0</v>
      </c>
      <c r="C1360">
        <f ca="1">SUM($B$2:B1360)/A1360</f>
        <v>112.98220649916132</v>
      </c>
      <c r="E1360">
        <v>1358</v>
      </c>
      <c r="F1360" s="11">
        <f t="shared" si="87"/>
        <v>0</v>
      </c>
      <c r="G1360">
        <f ca="1">SUM($F$2:F1360)/E1360</f>
        <v>114.99014138150518</v>
      </c>
      <c r="I1360">
        <v>1358</v>
      </c>
      <c r="J1360">
        <f t="shared" si="88"/>
        <v>0</v>
      </c>
      <c r="K1360">
        <f ca="1">SUM($J$2:J1360)/I1360</f>
        <v>112.98220649916132</v>
      </c>
      <c r="M1360">
        <v>1358</v>
      </c>
      <c r="N1360">
        <f t="shared" si="89"/>
        <v>0</v>
      </c>
      <c r="O1360">
        <f ca="1">SUM($N$2:N1360)/M1360</f>
        <v>114.99014138150518</v>
      </c>
    </row>
    <row r="1361" spans="1:15" x14ac:dyDescent="0.2">
      <c r="A1361">
        <v>1359</v>
      </c>
      <c r="B1361" s="11">
        <f t="shared" si="86"/>
        <v>0</v>
      </c>
      <c r="C1361">
        <f ca="1">SUM($B$2:B1361)/A1361</f>
        <v>112.89907021770499</v>
      </c>
      <c r="E1361">
        <v>1359</v>
      </c>
      <c r="F1361" s="11">
        <f t="shared" si="87"/>
        <v>0</v>
      </c>
      <c r="G1361">
        <f ca="1">SUM($F$2:F1361)/E1361</f>
        <v>114.90552759093748</v>
      </c>
      <c r="I1361">
        <v>1359</v>
      </c>
      <c r="J1361">
        <f t="shared" si="88"/>
        <v>0</v>
      </c>
      <c r="K1361">
        <f ca="1">SUM($J$2:J1361)/I1361</f>
        <v>112.89907021770499</v>
      </c>
      <c r="M1361">
        <v>1359</v>
      </c>
      <c r="N1361">
        <f t="shared" si="89"/>
        <v>0</v>
      </c>
      <c r="O1361">
        <f ca="1">SUM($N$2:N1361)/M1361</f>
        <v>114.90552759093748</v>
      </c>
    </row>
    <row r="1362" spans="1:15" x14ac:dyDescent="0.2">
      <c r="A1362">
        <v>1360</v>
      </c>
      <c r="B1362" s="11">
        <f t="shared" si="86"/>
        <v>0</v>
      </c>
      <c r="C1362">
        <f ca="1">SUM($B$2:B1362)/A1362</f>
        <v>112.81605619548608</v>
      </c>
      <c r="E1362">
        <v>1360</v>
      </c>
      <c r="F1362" s="11">
        <f t="shared" si="87"/>
        <v>0</v>
      </c>
      <c r="G1362">
        <f ca="1">SUM($F$2:F1362)/E1362</f>
        <v>114.82103823241474</v>
      </c>
      <c r="I1362">
        <v>1360</v>
      </c>
      <c r="J1362">
        <f t="shared" si="88"/>
        <v>0</v>
      </c>
      <c r="K1362">
        <f ca="1">SUM($J$2:J1362)/I1362</f>
        <v>112.81605619548608</v>
      </c>
      <c r="M1362">
        <v>1360</v>
      </c>
      <c r="N1362">
        <f t="shared" si="89"/>
        <v>0</v>
      </c>
      <c r="O1362">
        <f ca="1">SUM($N$2:N1362)/M1362</f>
        <v>114.82103823241474</v>
      </c>
    </row>
    <row r="1363" spans="1:15" x14ac:dyDescent="0.2">
      <c r="A1363">
        <v>1361</v>
      </c>
      <c r="B1363" s="11">
        <f t="shared" si="86"/>
        <v>0</v>
      </c>
      <c r="C1363">
        <f ca="1">SUM($B$2:B1363)/A1363</f>
        <v>112.73316416301329</v>
      </c>
      <c r="E1363">
        <v>1361</v>
      </c>
      <c r="F1363" s="11">
        <f t="shared" si="87"/>
        <v>0</v>
      </c>
      <c r="G1363">
        <f ca="1">SUM($F$2:F1363)/E1363</f>
        <v>114.73667303165617</v>
      </c>
      <c r="I1363">
        <v>1361</v>
      </c>
      <c r="J1363">
        <f t="shared" si="88"/>
        <v>0</v>
      </c>
      <c r="K1363">
        <f ca="1">SUM($J$2:J1363)/I1363</f>
        <v>112.73316416301329</v>
      </c>
      <c r="M1363">
        <v>1361</v>
      </c>
      <c r="N1363">
        <f t="shared" si="89"/>
        <v>0</v>
      </c>
      <c r="O1363">
        <f ca="1">SUM($N$2:N1363)/M1363</f>
        <v>114.73667303165617</v>
      </c>
    </row>
    <row r="1364" spans="1:15" x14ac:dyDescent="0.2">
      <c r="A1364">
        <v>1362</v>
      </c>
      <c r="B1364" s="11">
        <f t="shared" si="86"/>
        <v>0</v>
      </c>
      <c r="C1364">
        <f ca="1">SUM($B$2:B1364)/A1364</f>
        <v>112.6503938515867</v>
      </c>
      <c r="E1364">
        <v>1362</v>
      </c>
      <c r="F1364" s="11">
        <f t="shared" si="87"/>
        <v>0</v>
      </c>
      <c r="G1364">
        <f ca="1">SUM($F$2:F1364)/E1364</f>
        <v>114.65243171518652</v>
      </c>
      <c r="I1364">
        <v>1362</v>
      </c>
      <c r="J1364">
        <f t="shared" si="88"/>
        <v>0</v>
      </c>
      <c r="K1364">
        <f ca="1">SUM($J$2:J1364)/I1364</f>
        <v>112.6503938515867</v>
      </c>
      <c r="M1364">
        <v>1362</v>
      </c>
      <c r="N1364">
        <f t="shared" si="89"/>
        <v>0</v>
      </c>
      <c r="O1364">
        <f ca="1">SUM($N$2:N1364)/M1364</f>
        <v>114.65243171518652</v>
      </c>
    </row>
    <row r="1365" spans="1:15" x14ac:dyDescent="0.2">
      <c r="A1365">
        <v>1363</v>
      </c>
      <c r="B1365" s="11">
        <f t="shared" si="86"/>
        <v>0</v>
      </c>
      <c r="C1365">
        <f ca="1">SUM($B$2:B1365)/A1365</f>
        <v>112.56774499329499</v>
      </c>
      <c r="E1365">
        <v>1363</v>
      </c>
      <c r="F1365" s="11">
        <f t="shared" si="87"/>
        <v>0</v>
      </c>
      <c r="G1365">
        <f ca="1">SUM($F$2:F1365)/E1365</f>
        <v>114.56831401033313</v>
      </c>
      <c r="I1365">
        <v>1363</v>
      </c>
      <c r="J1365">
        <f t="shared" si="88"/>
        <v>0</v>
      </c>
      <c r="K1365">
        <f ca="1">SUM($J$2:J1365)/I1365</f>
        <v>112.56774499329499</v>
      </c>
      <c r="M1365">
        <v>1363</v>
      </c>
      <c r="N1365">
        <f t="shared" si="89"/>
        <v>0</v>
      </c>
      <c r="O1365">
        <f ca="1">SUM($N$2:N1365)/M1365</f>
        <v>114.56831401033313</v>
      </c>
    </row>
    <row r="1366" spans="1:15" x14ac:dyDescent="0.2">
      <c r="A1366">
        <v>1364</v>
      </c>
      <c r="B1366" s="11">
        <f t="shared" si="86"/>
        <v>0</v>
      </c>
      <c r="C1366">
        <f ca="1">SUM($B$2:B1366)/A1366</f>
        <v>112.48521732101253</v>
      </c>
      <c r="E1366">
        <v>1364</v>
      </c>
      <c r="F1366" s="11">
        <f t="shared" si="87"/>
        <v>0</v>
      </c>
      <c r="G1366">
        <f ca="1">SUM($F$2:F1366)/E1366</f>
        <v>114.48431964522291</v>
      </c>
      <c r="I1366">
        <v>1364</v>
      </c>
      <c r="J1366">
        <f t="shared" si="88"/>
        <v>0</v>
      </c>
      <c r="K1366">
        <f ca="1">SUM($J$2:J1366)/I1366</f>
        <v>112.48521732101253</v>
      </c>
      <c r="M1366">
        <v>1364</v>
      </c>
      <c r="N1366">
        <f t="shared" si="89"/>
        <v>0</v>
      </c>
      <c r="O1366">
        <f ca="1">SUM($N$2:N1366)/M1366</f>
        <v>114.48431964522291</v>
      </c>
    </row>
    <row r="1367" spans="1:15" x14ac:dyDescent="0.2">
      <c r="A1367">
        <v>1365</v>
      </c>
      <c r="B1367" s="11">
        <f t="shared" si="86"/>
        <v>0</v>
      </c>
      <c r="C1367">
        <f ca="1">SUM($B$2:B1367)/A1367</f>
        <v>112.40281056839639</v>
      </c>
      <c r="E1367">
        <v>1365</v>
      </c>
      <c r="F1367" s="11">
        <f t="shared" si="87"/>
        <v>0</v>
      </c>
      <c r="G1367">
        <f ca="1">SUM($F$2:F1367)/E1367</f>
        <v>114.40044834877952</v>
      </c>
      <c r="I1367">
        <v>1365</v>
      </c>
      <c r="J1367">
        <f t="shared" si="88"/>
        <v>0</v>
      </c>
      <c r="K1367">
        <f ca="1">SUM($J$2:J1367)/I1367</f>
        <v>112.40281056839639</v>
      </c>
      <c r="M1367">
        <v>1365</v>
      </c>
      <c r="N1367">
        <f t="shared" si="89"/>
        <v>0</v>
      </c>
      <c r="O1367">
        <f ca="1">SUM($N$2:N1367)/M1367</f>
        <v>114.40044834877952</v>
      </c>
    </row>
    <row r="1368" spans="1:15" x14ac:dyDescent="0.2">
      <c r="A1368">
        <v>1366</v>
      </c>
      <c r="B1368" s="11">
        <f t="shared" si="86"/>
        <v>0</v>
      </c>
      <c r="C1368">
        <f ca="1">SUM($B$2:B1368)/A1368</f>
        <v>112.32052446988367</v>
      </c>
      <c r="E1368">
        <v>1366</v>
      </c>
      <c r="F1368" s="11">
        <f t="shared" si="87"/>
        <v>0</v>
      </c>
      <c r="G1368">
        <f ca="1">SUM($F$2:F1368)/E1368</f>
        <v>114.31669985072038</v>
      </c>
      <c r="I1368">
        <v>1366</v>
      </c>
      <c r="J1368">
        <f t="shared" si="88"/>
        <v>0</v>
      </c>
      <c r="K1368">
        <f ca="1">SUM($J$2:J1368)/I1368</f>
        <v>112.32052446988367</v>
      </c>
      <c r="M1368">
        <v>1366</v>
      </c>
      <c r="N1368">
        <f t="shared" si="89"/>
        <v>0</v>
      </c>
      <c r="O1368">
        <f ca="1">SUM($N$2:N1368)/M1368</f>
        <v>114.31669985072038</v>
      </c>
    </row>
    <row r="1369" spans="1:15" x14ac:dyDescent="0.2">
      <c r="A1369">
        <v>1367</v>
      </c>
      <c r="B1369" s="11">
        <f t="shared" si="86"/>
        <v>0</v>
      </c>
      <c r="C1369">
        <f ca="1">SUM($B$2:B1369)/A1369</f>
        <v>112.23835876068843</v>
      </c>
      <c r="E1369">
        <v>1367</v>
      </c>
      <c r="F1369" s="11">
        <f t="shared" si="87"/>
        <v>0</v>
      </c>
      <c r="G1369">
        <f ca="1">SUM($F$2:F1369)/E1369</f>
        <v>114.23307388155379</v>
      </c>
      <c r="I1369">
        <v>1367</v>
      </c>
      <c r="J1369">
        <f t="shared" si="88"/>
        <v>0</v>
      </c>
      <c r="K1369">
        <f ca="1">SUM($J$2:J1369)/I1369</f>
        <v>112.23835876068843</v>
      </c>
      <c r="M1369">
        <v>1367</v>
      </c>
      <c r="N1369">
        <f t="shared" si="89"/>
        <v>0</v>
      </c>
      <c r="O1369">
        <f ca="1">SUM($N$2:N1369)/M1369</f>
        <v>114.23307388155379</v>
      </c>
    </row>
    <row r="1370" spans="1:15" x14ac:dyDescent="0.2">
      <c r="A1370">
        <v>1368</v>
      </c>
      <c r="B1370" s="11">
        <f t="shared" si="86"/>
        <v>0</v>
      </c>
      <c r="C1370">
        <f ca="1">SUM($B$2:B1370)/A1370</f>
        <v>112.15631317679903</v>
      </c>
      <c r="E1370">
        <v>1368</v>
      </c>
      <c r="F1370" s="11">
        <f t="shared" si="87"/>
        <v>0</v>
      </c>
      <c r="G1370">
        <f ca="1">SUM($F$2:F1370)/E1370</f>
        <v>114.14957017257606</v>
      </c>
      <c r="I1370">
        <v>1368</v>
      </c>
      <c r="J1370">
        <f t="shared" si="88"/>
        <v>0</v>
      </c>
      <c r="K1370">
        <f ca="1">SUM($J$2:J1370)/I1370</f>
        <v>112.15631317679903</v>
      </c>
      <c r="M1370">
        <v>1368</v>
      </c>
      <c r="N1370">
        <f t="shared" si="89"/>
        <v>0</v>
      </c>
      <c r="O1370">
        <f ca="1">SUM($N$2:N1370)/M1370</f>
        <v>114.14957017257606</v>
      </c>
    </row>
    <row r="1371" spans="1:15" x14ac:dyDescent="0.2">
      <c r="A1371">
        <v>1369</v>
      </c>
      <c r="B1371" s="11">
        <f t="shared" si="86"/>
        <v>0</v>
      </c>
      <c r="C1371">
        <f ca="1">SUM($B$2:B1371)/A1371</f>
        <v>112.07438745497522</v>
      </c>
      <c r="E1371">
        <v>1369</v>
      </c>
      <c r="F1371" s="11">
        <f t="shared" si="87"/>
        <v>0</v>
      </c>
      <c r="G1371">
        <f ca="1">SUM($F$2:F1371)/E1371</f>
        <v>114.06618845586856</v>
      </c>
      <c r="I1371">
        <v>1369</v>
      </c>
      <c r="J1371">
        <f t="shared" si="88"/>
        <v>0</v>
      </c>
      <c r="K1371">
        <f ca="1">SUM($J$2:J1371)/I1371</f>
        <v>112.07438745497522</v>
      </c>
      <c r="M1371">
        <v>1369</v>
      </c>
      <c r="N1371">
        <f t="shared" si="89"/>
        <v>0</v>
      </c>
      <c r="O1371">
        <f ca="1">SUM($N$2:N1371)/M1371</f>
        <v>114.06618845586856</v>
      </c>
    </row>
    <row r="1372" spans="1:15" x14ac:dyDescent="0.2">
      <c r="A1372">
        <v>1370</v>
      </c>
      <c r="B1372" s="11">
        <f t="shared" si="86"/>
        <v>0</v>
      </c>
      <c r="C1372">
        <f ca="1">SUM($B$2:B1372)/A1372</f>
        <v>111.99258133274532</v>
      </c>
      <c r="E1372">
        <v>1370</v>
      </c>
      <c r="F1372" s="11">
        <f t="shared" si="87"/>
        <v>0</v>
      </c>
      <c r="G1372">
        <f ca="1">SUM($F$2:F1372)/E1372</f>
        <v>113.98292846429493</v>
      </c>
      <c r="I1372">
        <v>1370</v>
      </c>
      <c r="J1372">
        <f t="shared" si="88"/>
        <v>0</v>
      </c>
      <c r="K1372">
        <f ca="1">SUM($J$2:J1372)/I1372</f>
        <v>111.99258133274532</v>
      </c>
      <c r="M1372">
        <v>1370</v>
      </c>
      <c r="N1372">
        <f t="shared" si="89"/>
        <v>0</v>
      </c>
      <c r="O1372">
        <f ca="1">SUM($N$2:N1372)/M1372</f>
        <v>113.98292846429493</v>
      </c>
    </row>
    <row r="1373" spans="1:15" x14ac:dyDescent="0.2">
      <c r="A1373">
        <v>1371</v>
      </c>
      <c r="B1373" s="11">
        <f t="shared" si="86"/>
        <v>0</v>
      </c>
      <c r="C1373">
        <f ca="1">SUM($B$2:B1373)/A1373</f>
        <v>111.91089454840342</v>
      </c>
      <c r="E1373">
        <v>1371</v>
      </c>
      <c r="F1373" s="11">
        <f t="shared" si="87"/>
        <v>0</v>
      </c>
      <c r="G1373">
        <f ca="1">SUM($F$2:F1373)/E1373</f>
        <v>113.8997899314982</v>
      </c>
      <c r="I1373">
        <v>1371</v>
      </c>
      <c r="J1373">
        <f t="shared" si="88"/>
        <v>0</v>
      </c>
      <c r="K1373">
        <f ca="1">SUM($J$2:J1373)/I1373</f>
        <v>111.91089454840342</v>
      </c>
      <c r="M1373">
        <v>1371</v>
      </c>
      <c r="N1373">
        <f t="shared" si="89"/>
        <v>0</v>
      </c>
      <c r="O1373">
        <f ca="1">SUM($N$2:N1373)/M1373</f>
        <v>113.8997899314982</v>
      </c>
    </row>
    <row r="1374" spans="1:15" x14ac:dyDescent="0.2">
      <c r="A1374">
        <v>1372</v>
      </c>
      <c r="B1374" s="11">
        <f t="shared" si="86"/>
        <v>0</v>
      </c>
      <c r="C1374">
        <f ca="1">SUM($B$2:B1374)/A1374</f>
        <v>111.82932684100662</v>
      </c>
      <c r="E1374">
        <v>1372</v>
      </c>
      <c r="F1374" s="11">
        <f t="shared" si="87"/>
        <v>0</v>
      </c>
      <c r="G1374">
        <f ca="1">SUM($F$2:F1374)/E1374</f>
        <v>113.81677259189799</v>
      </c>
      <c r="I1374">
        <v>1372</v>
      </c>
      <c r="J1374">
        <f t="shared" si="88"/>
        <v>0</v>
      </c>
      <c r="K1374">
        <f ca="1">SUM($J$2:J1374)/I1374</f>
        <v>111.82932684100662</v>
      </c>
      <c r="M1374">
        <v>1372</v>
      </c>
      <c r="N1374">
        <f t="shared" si="89"/>
        <v>0</v>
      </c>
      <c r="O1374">
        <f ca="1">SUM($N$2:N1374)/M1374</f>
        <v>113.81677259189799</v>
      </c>
    </row>
    <row r="1375" spans="1:15" x14ac:dyDescent="0.2">
      <c r="A1375">
        <v>1373</v>
      </c>
      <c r="B1375" s="11">
        <f t="shared" si="86"/>
        <v>0</v>
      </c>
      <c r="C1375">
        <f ca="1">SUM($B$2:B1375)/A1375</f>
        <v>111.74787795037224</v>
      </c>
      <c r="E1375">
        <v>1373</v>
      </c>
      <c r="F1375" s="11">
        <f t="shared" si="87"/>
        <v>0</v>
      </c>
      <c r="G1375">
        <f ca="1">SUM($F$2:F1375)/E1375</f>
        <v>113.73387618068757</v>
      </c>
      <c r="I1375">
        <v>1373</v>
      </c>
      <c r="J1375">
        <f t="shared" si="88"/>
        <v>0</v>
      </c>
      <c r="K1375">
        <f ca="1">SUM($J$2:J1375)/I1375</f>
        <v>111.74787795037224</v>
      </c>
      <c r="M1375">
        <v>1373</v>
      </c>
      <c r="N1375">
        <f t="shared" si="89"/>
        <v>0</v>
      </c>
      <c r="O1375">
        <f ca="1">SUM($N$2:N1375)/M1375</f>
        <v>113.73387618068757</v>
      </c>
    </row>
    <row r="1376" spans="1:15" x14ac:dyDescent="0.2">
      <c r="A1376">
        <v>1374</v>
      </c>
      <c r="B1376" s="11">
        <f t="shared" si="86"/>
        <v>0</v>
      </c>
      <c r="C1376">
        <f ca="1">SUM($B$2:B1376)/A1376</f>
        <v>111.66654761707503</v>
      </c>
      <c r="E1376">
        <v>1374</v>
      </c>
      <c r="F1376" s="11">
        <f t="shared" si="87"/>
        <v>0</v>
      </c>
      <c r="G1376">
        <f ca="1">SUM($F$2:F1376)/E1376</f>
        <v>113.65110043383119</v>
      </c>
      <c r="I1376">
        <v>1374</v>
      </c>
      <c r="J1376">
        <f t="shared" si="88"/>
        <v>0</v>
      </c>
      <c r="K1376">
        <f ca="1">SUM($J$2:J1376)/I1376</f>
        <v>111.66654761707503</v>
      </c>
      <c r="M1376">
        <v>1374</v>
      </c>
      <c r="N1376">
        <f t="shared" si="89"/>
        <v>0</v>
      </c>
      <c r="O1376">
        <f ca="1">SUM($N$2:N1376)/M1376</f>
        <v>113.65110043383119</v>
      </c>
    </row>
    <row r="1377" spans="1:15" x14ac:dyDescent="0.2">
      <c r="A1377">
        <v>1375</v>
      </c>
      <c r="B1377" s="11">
        <f t="shared" si="86"/>
        <v>0</v>
      </c>
      <c r="C1377">
        <f ca="1">SUM($B$2:B1377)/A1377</f>
        <v>111.58533558244443</v>
      </c>
      <c r="E1377">
        <v>1375</v>
      </c>
      <c r="F1377" s="11">
        <f t="shared" si="87"/>
        <v>0</v>
      </c>
      <c r="G1377">
        <f ca="1">SUM($F$2:F1377)/E1377</f>
        <v>113.56844508806113</v>
      </c>
      <c r="I1377">
        <v>1375</v>
      </c>
      <c r="J1377">
        <f t="shared" si="88"/>
        <v>0</v>
      </c>
      <c r="K1377">
        <f ca="1">SUM($J$2:J1377)/I1377</f>
        <v>111.58533558244443</v>
      </c>
      <c r="M1377">
        <v>1375</v>
      </c>
      <c r="N1377">
        <f t="shared" si="89"/>
        <v>0</v>
      </c>
      <c r="O1377">
        <f ca="1">SUM($N$2:N1377)/M1377</f>
        <v>113.56844508806113</v>
      </c>
    </row>
    <row r="1378" spans="1:15" x14ac:dyDescent="0.2">
      <c r="A1378">
        <v>1376</v>
      </c>
      <c r="B1378" s="11">
        <f t="shared" si="86"/>
        <v>0</v>
      </c>
      <c r="C1378">
        <f ca="1">SUM($B$2:B1378)/A1378</f>
        <v>111.50424158856184</v>
      </c>
      <c r="E1378">
        <v>1376</v>
      </c>
      <c r="F1378" s="11">
        <f t="shared" si="87"/>
        <v>0</v>
      </c>
      <c r="G1378">
        <f ca="1">SUM($F$2:F1378)/E1378</f>
        <v>113.48590988087503</v>
      </c>
      <c r="I1378">
        <v>1376</v>
      </c>
      <c r="J1378">
        <f t="shared" si="88"/>
        <v>0</v>
      </c>
      <c r="K1378">
        <f ca="1">SUM($J$2:J1378)/I1378</f>
        <v>111.50424158856184</v>
      </c>
      <c r="M1378">
        <v>1376</v>
      </c>
      <c r="N1378">
        <f t="shared" si="89"/>
        <v>0</v>
      </c>
      <c r="O1378">
        <f ca="1">SUM($N$2:N1378)/M1378</f>
        <v>113.48590988087503</v>
      </c>
    </row>
    <row r="1379" spans="1:15" x14ac:dyDescent="0.2">
      <c r="A1379">
        <v>1377</v>
      </c>
      <c r="B1379" s="11">
        <f t="shared" si="86"/>
        <v>0</v>
      </c>
      <c r="C1379">
        <f ca="1">SUM($B$2:B1379)/A1379</f>
        <v>111.42326537825787</v>
      </c>
      <c r="E1379">
        <v>1377</v>
      </c>
      <c r="F1379" s="11">
        <f t="shared" si="87"/>
        <v>0</v>
      </c>
      <c r="G1379">
        <f ca="1">SUM($F$2:F1379)/E1379</f>
        <v>113.40349455053307</v>
      </c>
      <c r="I1379">
        <v>1377</v>
      </c>
      <c r="J1379">
        <f t="shared" si="88"/>
        <v>0</v>
      </c>
      <c r="K1379">
        <f ca="1">SUM($J$2:J1379)/I1379</f>
        <v>111.42326537825787</v>
      </c>
      <c r="M1379">
        <v>1377</v>
      </c>
      <c r="N1379">
        <f t="shared" si="89"/>
        <v>0</v>
      </c>
      <c r="O1379">
        <f ca="1">SUM($N$2:N1379)/M1379</f>
        <v>113.40349455053307</v>
      </c>
    </row>
    <row r="1380" spans="1:15" x14ac:dyDescent="0.2">
      <c r="A1380">
        <v>1378</v>
      </c>
      <c r="B1380" s="11">
        <f t="shared" si="86"/>
        <v>0</v>
      </c>
      <c r="C1380">
        <f ca="1">SUM($B$2:B1380)/A1380</f>
        <v>111.34240669510964</v>
      </c>
      <c r="E1380">
        <v>1378</v>
      </c>
      <c r="F1380" s="11">
        <f t="shared" si="87"/>
        <v>0</v>
      </c>
      <c r="G1380">
        <f ca="1">SUM($F$2:F1380)/E1380</f>
        <v>113.32119883605519</v>
      </c>
      <c r="I1380">
        <v>1378</v>
      </c>
      <c r="J1380">
        <f t="shared" si="88"/>
        <v>0</v>
      </c>
      <c r="K1380">
        <f ca="1">SUM($J$2:J1380)/I1380</f>
        <v>111.34240669510964</v>
      </c>
      <c r="M1380">
        <v>1378</v>
      </c>
      <c r="N1380">
        <f t="shared" si="89"/>
        <v>0</v>
      </c>
      <c r="O1380">
        <f ca="1">SUM($N$2:N1380)/M1380</f>
        <v>113.32119883605519</v>
      </c>
    </row>
    <row r="1381" spans="1:15" x14ac:dyDescent="0.2">
      <c r="A1381">
        <v>1379</v>
      </c>
      <c r="B1381" s="11">
        <f t="shared" si="86"/>
        <v>0</v>
      </c>
      <c r="C1381">
        <f ca="1">SUM($B$2:B1381)/A1381</f>
        <v>111.26166528343806</v>
      </c>
      <c r="E1381">
        <v>1379</v>
      </c>
      <c r="F1381" s="11">
        <f t="shared" si="87"/>
        <v>0</v>
      </c>
      <c r="G1381">
        <f ca="1">SUM($F$2:F1381)/E1381</f>
        <v>113.23902247721831</v>
      </c>
      <c r="I1381">
        <v>1379</v>
      </c>
      <c r="J1381">
        <f t="shared" si="88"/>
        <v>0</v>
      </c>
      <c r="K1381">
        <f ca="1">SUM($J$2:J1381)/I1381</f>
        <v>111.26166528343806</v>
      </c>
      <c r="M1381">
        <v>1379</v>
      </c>
      <c r="N1381">
        <f t="shared" si="89"/>
        <v>0</v>
      </c>
      <c r="O1381">
        <f ca="1">SUM($N$2:N1381)/M1381</f>
        <v>113.23902247721831</v>
      </c>
    </row>
    <row r="1382" spans="1:15" x14ac:dyDescent="0.2">
      <c r="A1382">
        <v>1380</v>
      </c>
      <c r="B1382" s="11">
        <f t="shared" si="86"/>
        <v>0</v>
      </c>
      <c r="C1382">
        <f ca="1">SUM($B$2:B1382)/A1382</f>
        <v>111.18104088830513</v>
      </c>
      <c r="E1382">
        <v>1380</v>
      </c>
      <c r="F1382" s="11">
        <f t="shared" si="87"/>
        <v>0</v>
      </c>
      <c r="G1382">
        <f ca="1">SUM($F$2:F1382)/E1382</f>
        <v>113.15696521455365</v>
      </c>
      <c r="I1382">
        <v>1380</v>
      </c>
      <c r="J1382">
        <f t="shared" si="88"/>
        <v>0</v>
      </c>
      <c r="K1382">
        <f ca="1">SUM($J$2:J1382)/I1382</f>
        <v>111.18104088830513</v>
      </c>
      <c r="M1382">
        <v>1380</v>
      </c>
      <c r="N1382">
        <f t="shared" si="89"/>
        <v>0</v>
      </c>
      <c r="O1382">
        <f ca="1">SUM($N$2:N1382)/M1382</f>
        <v>113.15696521455365</v>
      </c>
    </row>
    <row r="1383" spans="1:15" x14ac:dyDescent="0.2">
      <c r="A1383">
        <v>1381</v>
      </c>
      <c r="B1383" s="11">
        <f t="shared" si="86"/>
        <v>0</v>
      </c>
      <c r="C1383">
        <f ca="1">SUM($B$2:B1383)/A1383</f>
        <v>111.10053325551128</v>
      </c>
      <c r="E1383">
        <v>1381</v>
      </c>
      <c r="F1383" s="11">
        <f t="shared" si="87"/>
        <v>0</v>
      </c>
      <c r="G1383">
        <f ca="1">SUM($F$2:F1383)/E1383</f>
        <v>113.07502678934398</v>
      </c>
      <c r="I1383">
        <v>1381</v>
      </c>
      <c r="J1383">
        <f t="shared" si="88"/>
        <v>0</v>
      </c>
      <c r="K1383">
        <f ca="1">SUM($J$2:J1383)/I1383</f>
        <v>111.10053325551128</v>
      </c>
      <c r="M1383">
        <v>1381</v>
      </c>
      <c r="N1383">
        <f t="shared" si="89"/>
        <v>0</v>
      </c>
      <c r="O1383">
        <f ca="1">SUM($N$2:N1383)/M1383</f>
        <v>113.07502678934398</v>
      </c>
    </row>
    <row r="1384" spans="1:15" x14ac:dyDescent="0.2">
      <c r="A1384">
        <v>1382</v>
      </c>
      <c r="B1384" s="11">
        <f t="shared" si="86"/>
        <v>0</v>
      </c>
      <c r="C1384">
        <f ca="1">SUM($B$2:B1384)/A1384</f>
        <v>111.02014213159268</v>
      </c>
      <c r="E1384">
        <v>1382</v>
      </c>
      <c r="F1384" s="11">
        <f t="shared" si="87"/>
        <v>0</v>
      </c>
      <c r="G1384">
        <f ca="1">SUM($F$2:F1384)/E1384</f>
        <v>112.99320694362088</v>
      </c>
      <c r="I1384">
        <v>1382</v>
      </c>
      <c r="J1384">
        <f t="shared" si="88"/>
        <v>0</v>
      </c>
      <c r="K1384">
        <f ca="1">SUM($J$2:J1384)/I1384</f>
        <v>111.02014213159268</v>
      </c>
      <c r="M1384">
        <v>1382</v>
      </c>
      <c r="N1384">
        <f t="shared" si="89"/>
        <v>0</v>
      </c>
      <c r="O1384">
        <f ca="1">SUM($N$2:N1384)/M1384</f>
        <v>112.99320694362088</v>
      </c>
    </row>
    <row r="1385" spans="1:15" x14ac:dyDescent="0.2">
      <c r="A1385">
        <v>1383</v>
      </c>
      <c r="B1385" s="11">
        <f t="shared" si="86"/>
        <v>0</v>
      </c>
      <c r="C1385">
        <f ca="1">SUM($B$2:B1385)/A1385</f>
        <v>110.93986726381857</v>
      </c>
      <c r="E1385">
        <v>1383</v>
      </c>
      <c r="F1385" s="11">
        <f t="shared" si="87"/>
        <v>0</v>
      </c>
      <c r="G1385">
        <f ca="1">SUM($F$2:F1385)/E1385</f>
        <v>112.911505420162</v>
      </c>
      <c r="I1385">
        <v>1383</v>
      </c>
      <c r="J1385">
        <f t="shared" si="88"/>
        <v>0</v>
      </c>
      <c r="K1385">
        <f ca="1">SUM($J$2:J1385)/I1385</f>
        <v>110.93986726381857</v>
      </c>
      <c r="M1385">
        <v>1383</v>
      </c>
      <c r="N1385">
        <f t="shared" si="89"/>
        <v>0</v>
      </c>
      <c r="O1385">
        <f ca="1">SUM($N$2:N1385)/M1385</f>
        <v>112.911505420162</v>
      </c>
    </row>
    <row r="1386" spans="1:15" x14ac:dyDescent="0.2">
      <c r="A1386">
        <v>1384</v>
      </c>
      <c r="B1386" s="11">
        <f t="shared" si="86"/>
        <v>0</v>
      </c>
      <c r="C1386">
        <f ca="1">SUM($B$2:B1386)/A1386</f>
        <v>110.85970840018864</v>
      </c>
      <c r="E1386">
        <v>1384</v>
      </c>
      <c r="F1386" s="11">
        <f t="shared" si="87"/>
        <v>0</v>
      </c>
      <c r="G1386">
        <f ca="1">SUM($F$2:F1386)/E1386</f>
        <v>112.82992196248847</v>
      </c>
      <c r="I1386">
        <v>1384</v>
      </c>
      <c r="J1386">
        <f t="shared" si="88"/>
        <v>0</v>
      </c>
      <c r="K1386">
        <f ca="1">SUM($J$2:J1386)/I1386</f>
        <v>110.85970840018864</v>
      </c>
      <c r="M1386">
        <v>1384</v>
      </c>
      <c r="N1386">
        <f t="shared" si="89"/>
        <v>0</v>
      </c>
      <c r="O1386">
        <f ca="1">SUM($N$2:N1386)/M1386</f>
        <v>112.82992196248847</v>
      </c>
    </row>
    <row r="1387" spans="1:15" x14ac:dyDescent="0.2">
      <c r="A1387">
        <v>1385</v>
      </c>
      <c r="B1387" s="11">
        <f t="shared" si="86"/>
        <v>0</v>
      </c>
      <c r="C1387">
        <f ca="1">SUM($B$2:B1387)/A1387</f>
        <v>110.77966528943038</v>
      </c>
      <c r="E1387">
        <v>1385</v>
      </c>
      <c r="F1387" s="11">
        <f t="shared" si="87"/>
        <v>0</v>
      </c>
      <c r="G1387">
        <f ca="1">SUM($F$2:F1387)/E1387</f>
        <v>112.74845631486212</v>
      </c>
      <c r="I1387">
        <v>1385</v>
      </c>
      <c r="J1387">
        <f t="shared" si="88"/>
        <v>0</v>
      </c>
      <c r="K1387">
        <f ca="1">SUM($J$2:J1387)/I1387</f>
        <v>110.77966528943038</v>
      </c>
      <c r="M1387">
        <v>1385</v>
      </c>
      <c r="N1387">
        <f t="shared" si="89"/>
        <v>0</v>
      </c>
      <c r="O1387">
        <f ca="1">SUM($N$2:N1387)/M1387</f>
        <v>112.74845631486212</v>
      </c>
    </row>
    <row r="1388" spans="1:15" x14ac:dyDescent="0.2">
      <c r="A1388">
        <v>1386</v>
      </c>
      <c r="B1388" s="11">
        <f t="shared" si="86"/>
        <v>0</v>
      </c>
      <c r="C1388">
        <f ca="1">SUM($B$2:B1388)/A1388</f>
        <v>110.69973768099645</v>
      </c>
      <c r="E1388">
        <v>1386</v>
      </c>
      <c r="F1388" s="11">
        <f t="shared" si="87"/>
        <v>0</v>
      </c>
      <c r="G1388">
        <f ca="1">SUM($F$2:F1388)/E1388</f>
        <v>112.66710822228286</v>
      </c>
      <c r="I1388">
        <v>1386</v>
      </c>
      <c r="J1388">
        <f t="shared" si="88"/>
        <v>0</v>
      </c>
      <c r="K1388">
        <f ca="1">SUM($J$2:J1388)/I1388</f>
        <v>110.69973768099645</v>
      </c>
      <c r="M1388">
        <v>1386</v>
      </c>
      <c r="N1388">
        <f t="shared" si="89"/>
        <v>0</v>
      </c>
      <c r="O1388">
        <f ca="1">SUM($N$2:N1388)/M1388</f>
        <v>112.66710822228286</v>
      </c>
    </row>
    <row r="1389" spans="1:15" x14ac:dyDescent="0.2">
      <c r="A1389">
        <v>1387</v>
      </c>
      <c r="B1389" s="11">
        <f t="shared" si="86"/>
        <v>0</v>
      </c>
      <c r="C1389">
        <f ca="1">SUM($B$2:B1389)/A1389</f>
        <v>110.61992532506207</v>
      </c>
      <c r="E1389">
        <v>1387</v>
      </c>
      <c r="F1389" s="11">
        <f t="shared" si="87"/>
        <v>0</v>
      </c>
      <c r="G1389">
        <f ca="1">SUM($F$2:F1389)/E1389</f>
        <v>112.58587743048598</v>
      </c>
      <c r="I1389">
        <v>1387</v>
      </c>
      <c r="J1389">
        <f t="shared" si="88"/>
        <v>0</v>
      </c>
      <c r="K1389">
        <f ca="1">SUM($J$2:J1389)/I1389</f>
        <v>110.61992532506207</v>
      </c>
      <c r="M1389">
        <v>1387</v>
      </c>
      <c r="N1389">
        <f t="shared" si="89"/>
        <v>0</v>
      </c>
      <c r="O1389">
        <f ca="1">SUM($N$2:N1389)/M1389</f>
        <v>112.58587743048598</v>
      </c>
    </row>
    <row r="1390" spans="1:15" x14ac:dyDescent="0.2">
      <c r="A1390">
        <v>1388</v>
      </c>
      <c r="B1390" s="11">
        <f t="shared" si="86"/>
        <v>0</v>
      </c>
      <c r="C1390">
        <f ca="1">SUM($B$2:B1390)/A1390</f>
        <v>110.54022797252239</v>
      </c>
      <c r="E1390">
        <v>1388</v>
      </c>
      <c r="F1390" s="11">
        <f t="shared" si="87"/>
        <v>0</v>
      </c>
      <c r="G1390">
        <f ca="1">SUM($F$2:F1390)/E1390</f>
        <v>112.50476368593951</v>
      </c>
      <c r="I1390">
        <v>1388</v>
      </c>
      <c r="J1390">
        <f t="shared" si="88"/>
        <v>0</v>
      </c>
      <c r="K1390">
        <f ca="1">SUM($J$2:J1390)/I1390</f>
        <v>110.54022797252239</v>
      </c>
      <c r="M1390">
        <v>1388</v>
      </c>
      <c r="N1390">
        <f t="shared" si="89"/>
        <v>0</v>
      </c>
      <c r="O1390">
        <f ca="1">SUM($N$2:N1390)/M1390</f>
        <v>112.50476368593951</v>
      </c>
    </row>
    <row r="1391" spans="1:15" x14ac:dyDescent="0.2">
      <c r="A1391">
        <v>1389</v>
      </c>
      <c r="B1391" s="11">
        <f t="shared" si="86"/>
        <v>0</v>
      </c>
      <c r="C1391">
        <f ca="1">SUM($B$2:B1391)/A1391</f>
        <v>110.46064537498998</v>
      </c>
      <c r="E1391">
        <v>1389</v>
      </c>
      <c r="F1391" s="11">
        <f t="shared" si="87"/>
        <v>0</v>
      </c>
      <c r="G1391">
        <f ca="1">SUM($F$2:F1391)/E1391</f>
        <v>112.42376673584164</v>
      </c>
      <c r="I1391">
        <v>1389</v>
      </c>
      <c r="J1391">
        <f t="shared" si="88"/>
        <v>0</v>
      </c>
      <c r="K1391">
        <f ca="1">SUM($J$2:J1391)/I1391</f>
        <v>110.46064537498998</v>
      </c>
      <c r="M1391">
        <v>1389</v>
      </c>
      <c r="N1391">
        <f t="shared" si="89"/>
        <v>0</v>
      </c>
      <c r="O1391">
        <f ca="1">SUM($N$2:N1391)/M1391</f>
        <v>112.42376673584164</v>
      </c>
    </row>
    <row r="1392" spans="1:15" x14ac:dyDescent="0.2">
      <c r="A1392">
        <v>1390</v>
      </c>
      <c r="B1392" s="11">
        <f t="shared" si="86"/>
        <v>0</v>
      </c>
      <c r="C1392">
        <f ca="1">SUM($B$2:B1392)/A1392</f>
        <v>110.38117728479214</v>
      </c>
      <c r="E1392">
        <v>1390</v>
      </c>
      <c r="F1392" s="11">
        <f t="shared" si="87"/>
        <v>0</v>
      </c>
      <c r="G1392">
        <f ca="1">SUM($F$2:F1392)/E1392</f>
        <v>112.34288632811801</v>
      </c>
      <c r="I1392">
        <v>1390</v>
      </c>
      <c r="J1392">
        <f t="shared" si="88"/>
        <v>0</v>
      </c>
      <c r="K1392">
        <f ca="1">SUM($J$2:J1392)/I1392</f>
        <v>110.38117728479214</v>
      </c>
      <c r="M1392">
        <v>1390</v>
      </c>
      <c r="N1392">
        <f t="shared" si="89"/>
        <v>0</v>
      </c>
      <c r="O1392">
        <f ca="1">SUM($N$2:N1392)/M1392</f>
        <v>112.34288632811801</v>
      </c>
    </row>
    <row r="1393" spans="1:15" x14ac:dyDescent="0.2">
      <c r="A1393">
        <v>1391</v>
      </c>
      <c r="B1393" s="11">
        <f t="shared" si="86"/>
        <v>0</v>
      </c>
      <c r="C1393">
        <f ca="1">SUM($B$2:B1393)/A1393</f>
        <v>110.30182345496843</v>
      </c>
      <c r="E1393">
        <v>1391</v>
      </c>
      <c r="F1393" s="11">
        <f t="shared" si="87"/>
        <v>0</v>
      </c>
      <c r="G1393">
        <f ca="1">SUM($F$2:F1393)/E1393</f>
        <v>112.26212221141915</v>
      </c>
      <c r="I1393">
        <v>1391</v>
      </c>
      <c r="J1393">
        <f t="shared" si="88"/>
        <v>0</v>
      </c>
      <c r="K1393">
        <f ca="1">SUM($J$2:J1393)/I1393</f>
        <v>110.30182345496843</v>
      </c>
      <c r="M1393">
        <v>1391</v>
      </c>
      <c r="N1393">
        <f t="shared" si="89"/>
        <v>0</v>
      </c>
      <c r="O1393">
        <f ca="1">SUM($N$2:N1393)/M1393</f>
        <v>112.26212221141915</v>
      </c>
    </row>
    <row r="1394" spans="1:15" x14ac:dyDescent="0.2">
      <c r="A1394">
        <v>1392</v>
      </c>
      <c r="B1394" s="11">
        <f t="shared" si="86"/>
        <v>0</v>
      </c>
      <c r="C1394">
        <f ca="1">SUM($B$2:B1394)/A1394</f>
        <v>110.22258363926802</v>
      </c>
      <c r="E1394">
        <v>1392</v>
      </c>
      <c r="F1394" s="11">
        <f t="shared" si="87"/>
        <v>0</v>
      </c>
      <c r="G1394">
        <f ca="1">SUM($F$2:F1394)/E1394</f>
        <v>112.18147413511785</v>
      </c>
      <c r="I1394">
        <v>1392</v>
      </c>
      <c r="J1394">
        <f t="shared" si="88"/>
        <v>0</v>
      </c>
      <c r="K1394">
        <f ca="1">SUM($J$2:J1394)/I1394</f>
        <v>110.22258363926802</v>
      </c>
      <c r="M1394">
        <v>1392</v>
      </c>
      <c r="N1394">
        <f t="shared" si="89"/>
        <v>0</v>
      </c>
      <c r="O1394">
        <f ca="1">SUM($N$2:N1394)/M1394</f>
        <v>112.18147413511785</v>
      </c>
    </row>
    <row r="1395" spans="1:15" x14ac:dyDescent="0.2">
      <c r="A1395">
        <v>1393</v>
      </c>
      <c r="B1395" s="11">
        <f t="shared" si="86"/>
        <v>0</v>
      </c>
      <c r="C1395">
        <f ca="1">SUM($B$2:B1395)/A1395</f>
        <v>110.14345759214723</v>
      </c>
      <c r="E1395">
        <v>1393</v>
      </c>
      <c r="F1395" s="11">
        <f t="shared" si="87"/>
        <v>0</v>
      </c>
      <c r="G1395">
        <f ca="1">SUM($F$2:F1395)/E1395</f>
        <v>112.10094184930657</v>
      </c>
      <c r="I1395">
        <v>1393</v>
      </c>
      <c r="J1395">
        <f t="shared" si="88"/>
        <v>0</v>
      </c>
      <c r="K1395">
        <f ca="1">SUM($J$2:J1395)/I1395</f>
        <v>110.14345759214723</v>
      </c>
      <c r="M1395">
        <v>1393</v>
      </c>
      <c r="N1395">
        <f t="shared" si="89"/>
        <v>0</v>
      </c>
      <c r="O1395">
        <f ca="1">SUM($N$2:N1395)/M1395</f>
        <v>112.10094184930657</v>
      </c>
    </row>
    <row r="1396" spans="1:15" x14ac:dyDescent="0.2">
      <c r="A1396">
        <v>1394</v>
      </c>
      <c r="B1396" s="11">
        <f t="shared" si="86"/>
        <v>0</v>
      </c>
      <c r="C1396">
        <f ca="1">SUM($B$2:B1396)/A1396</f>
        <v>110.06444506876691</v>
      </c>
      <c r="E1396">
        <v>1394</v>
      </c>
      <c r="F1396" s="11">
        <f t="shared" si="87"/>
        <v>0</v>
      </c>
      <c r="G1396">
        <f ca="1">SUM($F$2:F1396)/E1396</f>
        <v>112.02052510479487</v>
      </c>
      <c r="I1396">
        <v>1394</v>
      </c>
      <c r="J1396">
        <f t="shared" si="88"/>
        <v>0</v>
      </c>
      <c r="K1396">
        <f ca="1">SUM($J$2:J1396)/I1396</f>
        <v>110.06444506876691</v>
      </c>
      <c r="M1396">
        <v>1394</v>
      </c>
      <c r="N1396">
        <f t="shared" si="89"/>
        <v>0</v>
      </c>
      <c r="O1396">
        <f ca="1">SUM($N$2:N1396)/M1396</f>
        <v>112.02052510479487</v>
      </c>
    </row>
    <row r="1397" spans="1:15" x14ac:dyDescent="0.2">
      <c r="A1397">
        <v>1395</v>
      </c>
      <c r="B1397" s="11">
        <f t="shared" si="86"/>
        <v>0</v>
      </c>
      <c r="C1397">
        <f ca="1">SUM($B$2:B1397)/A1397</f>
        <v>109.98554582499003</v>
      </c>
      <c r="E1397">
        <v>1395</v>
      </c>
      <c r="F1397" s="11">
        <f t="shared" si="87"/>
        <v>0</v>
      </c>
      <c r="G1397">
        <f ca="1">SUM($F$2:F1397)/E1397</f>
        <v>111.94022365310684</v>
      </c>
      <c r="I1397">
        <v>1395</v>
      </c>
      <c r="J1397">
        <f t="shared" si="88"/>
        <v>0</v>
      </c>
      <c r="K1397">
        <f ca="1">SUM($J$2:J1397)/I1397</f>
        <v>109.98554582499003</v>
      </c>
      <c r="M1397">
        <v>1395</v>
      </c>
      <c r="N1397">
        <f t="shared" si="89"/>
        <v>0</v>
      </c>
      <c r="O1397">
        <f ca="1">SUM($N$2:N1397)/M1397</f>
        <v>111.94022365310684</v>
      </c>
    </row>
    <row r="1398" spans="1:15" x14ac:dyDescent="0.2">
      <c r="A1398">
        <v>1396</v>
      </c>
      <c r="B1398" s="11">
        <f t="shared" si="86"/>
        <v>0</v>
      </c>
      <c r="C1398">
        <f ca="1">SUM($B$2:B1398)/A1398</f>
        <v>109.906759617379</v>
      </c>
      <c r="E1398">
        <v>1396</v>
      </c>
      <c r="F1398" s="11">
        <f t="shared" si="87"/>
        <v>0</v>
      </c>
      <c r="G1398">
        <f ca="1">SUM($F$2:F1398)/E1398</f>
        <v>111.86003724647854</v>
      </c>
      <c r="I1398">
        <v>1396</v>
      </c>
      <c r="J1398">
        <f t="shared" si="88"/>
        <v>0</v>
      </c>
      <c r="K1398">
        <f ca="1">SUM($J$2:J1398)/I1398</f>
        <v>109.906759617379</v>
      </c>
      <c r="M1398">
        <v>1396</v>
      </c>
      <c r="N1398">
        <f t="shared" si="89"/>
        <v>0</v>
      </c>
      <c r="O1398">
        <f ca="1">SUM($N$2:N1398)/M1398</f>
        <v>111.86003724647854</v>
      </c>
    </row>
    <row r="1399" spans="1:15" x14ac:dyDescent="0.2">
      <c r="A1399">
        <v>1397</v>
      </c>
      <c r="B1399" s="11">
        <f t="shared" si="86"/>
        <v>0</v>
      </c>
      <c r="C1399">
        <f ca="1">SUM($B$2:B1399)/A1399</f>
        <v>109.82808620319334</v>
      </c>
      <c r="E1399">
        <v>1397</v>
      </c>
      <c r="F1399" s="11">
        <f t="shared" si="87"/>
        <v>0</v>
      </c>
      <c r="G1399">
        <f ca="1">SUM($F$2:F1399)/E1399</f>
        <v>111.77996563785544</v>
      </c>
      <c r="I1399">
        <v>1397</v>
      </c>
      <c r="J1399">
        <f t="shared" si="88"/>
        <v>0</v>
      </c>
      <c r="K1399">
        <f ca="1">SUM($J$2:J1399)/I1399</f>
        <v>109.82808620319334</v>
      </c>
      <c r="M1399">
        <v>1397</v>
      </c>
      <c r="N1399">
        <f t="shared" si="89"/>
        <v>0</v>
      </c>
      <c r="O1399">
        <f ca="1">SUM($N$2:N1399)/M1399</f>
        <v>111.77996563785544</v>
      </c>
    </row>
    <row r="1400" spans="1:15" x14ac:dyDescent="0.2">
      <c r="A1400">
        <v>1398</v>
      </c>
      <c r="B1400" s="11">
        <f t="shared" si="86"/>
        <v>0</v>
      </c>
      <c r="C1400">
        <f ca="1">SUM($B$2:B1400)/A1400</f>
        <v>109.74952534038704</v>
      </c>
      <c r="E1400">
        <v>1398</v>
      </c>
      <c r="F1400" s="11">
        <f t="shared" si="87"/>
        <v>0</v>
      </c>
      <c r="G1400">
        <f ca="1">SUM($F$2:F1400)/E1400</f>
        <v>111.70000858088987</v>
      </c>
      <c r="I1400">
        <v>1398</v>
      </c>
      <c r="J1400">
        <f t="shared" si="88"/>
        <v>0</v>
      </c>
      <c r="K1400">
        <f ca="1">SUM($J$2:J1400)/I1400</f>
        <v>109.74952534038704</v>
      </c>
      <c r="M1400">
        <v>1398</v>
      </c>
      <c r="N1400">
        <f t="shared" si="89"/>
        <v>0</v>
      </c>
      <c r="O1400">
        <f ca="1">SUM($N$2:N1400)/M1400</f>
        <v>111.70000858088987</v>
      </c>
    </row>
    <row r="1401" spans="1:15" x14ac:dyDescent="0.2">
      <c r="A1401">
        <v>1399</v>
      </c>
      <c r="B1401" s="11">
        <f t="shared" si="86"/>
        <v>0</v>
      </c>
      <c r="C1401">
        <f ca="1">SUM($B$2:B1401)/A1401</f>
        <v>109.67107678760621</v>
      </c>
      <c r="E1401">
        <v>1399</v>
      </c>
      <c r="F1401" s="11">
        <f t="shared" si="87"/>
        <v>0</v>
      </c>
      <c r="G1401">
        <f ca="1">SUM($F$2:F1401)/E1401</f>
        <v>111.62016582993856</v>
      </c>
      <c r="I1401">
        <v>1399</v>
      </c>
      <c r="J1401">
        <f t="shared" si="88"/>
        <v>0</v>
      </c>
      <c r="K1401">
        <f ca="1">SUM($J$2:J1401)/I1401</f>
        <v>109.67107678760621</v>
      </c>
      <c r="M1401">
        <v>1399</v>
      </c>
      <c r="N1401">
        <f t="shared" si="89"/>
        <v>0</v>
      </c>
      <c r="O1401">
        <f ca="1">SUM($N$2:N1401)/M1401</f>
        <v>111.62016582993856</v>
      </c>
    </row>
    <row r="1402" spans="1:15" x14ac:dyDescent="0.2">
      <c r="A1402">
        <v>1400</v>
      </c>
      <c r="B1402" s="11">
        <f t="shared" si="86"/>
        <v>0</v>
      </c>
      <c r="C1402">
        <f ca="1">SUM($B$2:B1402)/A1402</f>
        <v>109.59274030418649</v>
      </c>
      <c r="E1402">
        <v>1400</v>
      </c>
      <c r="F1402" s="11">
        <f t="shared" si="87"/>
        <v>0</v>
      </c>
      <c r="G1402">
        <f ca="1">SUM($F$2:F1402)/E1402</f>
        <v>111.54043714006004</v>
      </c>
      <c r="I1402">
        <v>1400</v>
      </c>
      <c r="J1402">
        <f t="shared" si="88"/>
        <v>0</v>
      </c>
      <c r="K1402">
        <f ca="1">SUM($J$2:J1402)/I1402</f>
        <v>109.59274030418649</v>
      </c>
      <c r="M1402">
        <v>1400</v>
      </c>
      <c r="N1402">
        <f t="shared" si="89"/>
        <v>0</v>
      </c>
      <c r="O1402">
        <f ca="1">SUM($N$2:N1402)/M1402</f>
        <v>111.54043714006004</v>
      </c>
    </row>
    <row r="1403" spans="1:15" x14ac:dyDescent="0.2">
      <c r="A1403">
        <v>1401</v>
      </c>
      <c r="B1403" s="11">
        <f t="shared" si="86"/>
        <v>0</v>
      </c>
      <c r="C1403">
        <f ca="1">SUM($B$2:B1403)/A1403</f>
        <v>109.51451565015067</v>
      </c>
      <c r="E1403">
        <v>1401</v>
      </c>
      <c r="F1403" s="11">
        <f t="shared" si="87"/>
        <v>0</v>
      </c>
      <c r="G1403">
        <f ca="1">SUM($F$2:F1403)/E1403</f>
        <v>111.46082226701216</v>
      </c>
      <c r="I1403">
        <v>1401</v>
      </c>
      <c r="J1403">
        <f t="shared" si="88"/>
        <v>0</v>
      </c>
      <c r="K1403">
        <f ca="1">SUM($J$2:J1403)/I1403</f>
        <v>109.51451565015067</v>
      </c>
      <c r="M1403">
        <v>1401</v>
      </c>
      <c r="N1403">
        <f t="shared" si="89"/>
        <v>0</v>
      </c>
      <c r="O1403">
        <f ca="1">SUM($N$2:N1403)/M1403</f>
        <v>111.46082226701216</v>
      </c>
    </row>
    <row r="1404" spans="1:15" x14ac:dyDescent="0.2">
      <c r="A1404">
        <v>1402</v>
      </c>
      <c r="B1404" s="11">
        <f t="shared" si="86"/>
        <v>0</v>
      </c>
      <c r="C1404">
        <f ca="1">SUM($B$2:B1404)/A1404</f>
        <v>109.4364025862062</v>
      </c>
      <c r="E1404">
        <v>1402</v>
      </c>
      <c r="F1404" s="11">
        <f t="shared" si="87"/>
        <v>0</v>
      </c>
      <c r="G1404">
        <f ca="1">SUM($F$2:F1404)/E1404</f>
        <v>111.38132096724968</v>
      </c>
      <c r="I1404">
        <v>1402</v>
      </c>
      <c r="J1404">
        <f t="shared" si="88"/>
        <v>0</v>
      </c>
      <c r="K1404">
        <f ca="1">SUM($J$2:J1404)/I1404</f>
        <v>109.4364025862062</v>
      </c>
      <c r="M1404">
        <v>1402</v>
      </c>
      <c r="N1404">
        <f t="shared" si="89"/>
        <v>0</v>
      </c>
      <c r="O1404">
        <f ca="1">SUM($N$2:N1404)/M1404</f>
        <v>111.38132096724968</v>
      </c>
    </row>
    <row r="1405" spans="1:15" x14ac:dyDescent="0.2">
      <c r="A1405">
        <v>1403</v>
      </c>
      <c r="B1405" s="11">
        <f t="shared" si="86"/>
        <v>0</v>
      </c>
      <c r="C1405">
        <f ca="1">SUM($B$2:B1405)/A1405</f>
        <v>109.35840087374275</v>
      </c>
      <c r="E1405">
        <v>1403</v>
      </c>
      <c r="F1405" s="11">
        <f t="shared" si="87"/>
        <v>0</v>
      </c>
      <c r="G1405">
        <f ca="1">SUM($F$2:F1405)/E1405</f>
        <v>111.30193299792163</v>
      </c>
      <c r="I1405">
        <v>1403</v>
      </c>
      <c r="J1405">
        <f t="shared" si="88"/>
        <v>0</v>
      </c>
      <c r="K1405">
        <f ca="1">SUM($J$2:J1405)/I1405</f>
        <v>109.35840087374275</v>
      </c>
      <c r="M1405">
        <v>1403</v>
      </c>
      <c r="N1405">
        <f t="shared" si="89"/>
        <v>0</v>
      </c>
      <c r="O1405">
        <f ca="1">SUM($N$2:N1405)/M1405</f>
        <v>111.30193299792163</v>
      </c>
    </row>
    <row r="1406" spans="1:15" x14ac:dyDescent="0.2">
      <c r="A1406">
        <v>1404</v>
      </c>
      <c r="B1406" s="11">
        <f t="shared" si="86"/>
        <v>0</v>
      </c>
      <c r="C1406">
        <f ca="1">SUM($B$2:B1406)/A1406</f>
        <v>109.28051027482984</v>
      </c>
      <c r="E1406">
        <v>1404</v>
      </c>
      <c r="F1406" s="11">
        <f t="shared" si="87"/>
        <v>0</v>
      </c>
      <c r="G1406">
        <f ca="1">SUM($F$2:F1406)/E1406</f>
        <v>111.22265811686897</v>
      </c>
      <c r="I1406">
        <v>1404</v>
      </c>
      <c r="J1406">
        <f t="shared" si="88"/>
        <v>0</v>
      </c>
      <c r="K1406">
        <f ca="1">SUM($J$2:J1406)/I1406</f>
        <v>109.28051027482984</v>
      </c>
      <c r="M1406">
        <v>1404</v>
      </c>
      <c r="N1406">
        <f t="shared" si="89"/>
        <v>0</v>
      </c>
      <c r="O1406">
        <f ca="1">SUM($N$2:N1406)/M1406</f>
        <v>111.22265811686897</v>
      </c>
    </row>
    <row r="1407" spans="1:15" x14ac:dyDescent="0.2">
      <c r="A1407">
        <v>1405</v>
      </c>
      <c r="B1407" s="11">
        <f t="shared" si="86"/>
        <v>0</v>
      </c>
      <c r="C1407">
        <f ca="1">SUM($B$2:B1407)/A1407</f>
        <v>109.20273055221429</v>
      </c>
      <c r="E1407">
        <v>1405</v>
      </c>
      <c r="F1407" s="11">
        <f t="shared" si="87"/>
        <v>0</v>
      </c>
      <c r="G1407">
        <f ca="1">SUM($F$2:F1407)/E1407</f>
        <v>111.14349608262209</v>
      </c>
      <c r="I1407">
        <v>1405</v>
      </c>
      <c r="J1407">
        <f t="shared" si="88"/>
        <v>0</v>
      </c>
      <c r="K1407">
        <f ca="1">SUM($J$2:J1407)/I1407</f>
        <v>109.20273055221429</v>
      </c>
      <c r="M1407">
        <v>1405</v>
      </c>
      <c r="N1407">
        <f t="shared" si="89"/>
        <v>0</v>
      </c>
      <c r="O1407">
        <f ca="1">SUM($N$2:N1407)/M1407</f>
        <v>111.14349608262209</v>
      </c>
    </row>
    <row r="1408" spans="1:15" x14ac:dyDescent="0.2">
      <c r="A1408">
        <v>1406</v>
      </c>
      <c r="B1408" s="11">
        <f t="shared" si="86"/>
        <v>0</v>
      </c>
      <c r="C1408">
        <f ca="1">SUM($B$2:B1408)/A1408</f>
        <v>109.12506146931798</v>
      </c>
      <c r="E1408">
        <v>1406</v>
      </c>
      <c r="F1408" s="11">
        <f t="shared" si="87"/>
        <v>0</v>
      </c>
      <c r="G1408">
        <f ca="1">SUM($F$2:F1408)/E1408</f>
        <v>111.06444665439832</v>
      </c>
      <c r="I1408">
        <v>1406</v>
      </c>
      <c r="J1408">
        <f t="shared" si="88"/>
        <v>0</v>
      </c>
      <c r="K1408">
        <f ca="1">SUM($J$2:J1408)/I1408</f>
        <v>109.12506146931798</v>
      </c>
      <c r="M1408">
        <v>1406</v>
      </c>
      <c r="N1408">
        <f t="shared" si="89"/>
        <v>0</v>
      </c>
      <c r="O1408">
        <f ca="1">SUM($N$2:N1408)/M1408</f>
        <v>111.06444665439832</v>
      </c>
    </row>
    <row r="1409" spans="1:15" x14ac:dyDescent="0.2">
      <c r="A1409">
        <v>1407</v>
      </c>
      <c r="B1409" s="11">
        <f t="shared" si="86"/>
        <v>0</v>
      </c>
      <c r="C1409">
        <f ca="1">SUM($B$2:B1409)/A1409</f>
        <v>109.04750279023531</v>
      </c>
      <c r="E1409">
        <v>1407</v>
      </c>
      <c r="F1409" s="11">
        <f t="shared" si="87"/>
        <v>0</v>
      </c>
      <c r="G1409">
        <f ca="1">SUM($F$2:F1409)/E1409</f>
        <v>110.98550959209953</v>
      </c>
      <c r="I1409">
        <v>1407</v>
      </c>
      <c r="J1409">
        <f t="shared" si="88"/>
        <v>0</v>
      </c>
      <c r="K1409">
        <f ca="1">SUM($J$2:J1409)/I1409</f>
        <v>109.04750279023531</v>
      </c>
      <c r="M1409">
        <v>1407</v>
      </c>
      <c r="N1409">
        <f t="shared" si="89"/>
        <v>0</v>
      </c>
      <c r="O1409">
        <f ca="1">SUM($N$2:N1409)/M1409</f>
        <v>110.98550959209953</v>
      </c>
    </row>
    <row r="1410" spans="1:15" x14ac:dyDescent="0.2">
      <c r="A1410">
        <v>1408</v>
      </c>
      <c r="B1410" s="11">
        <f t="shared" si="86"/>
        <v>0</v>
      </c>
      <c r="C1410">
        <f ca="1">SUM($B$2:B1410)/A1410</f>
        <v>108.97005427973089</v>
      </c>
      <c r="E1410">
        <v>1408</v>
      </c>
      <c r="F1410" s="11">
        <f t="shared" si="87"/>
        <v>0</v>
      </c>
      <c r="G1410">
        <f ca="1">SUM($F$2:F1410)/E1410</f>
        <v>110.90668465630969</v>
      </c>
      <c r="I1410">
        <v>1408</v>
      </c>
      <c r="J1410">
        <f t="shared" si="88"/>
        <v>0</v>
      </c>
      <c r="K1410">
        <f ca="1">SUM($J$2:J1410)/I1410</f>
        <v>108.97005427973089</v>
      </c>
      <c r="M1410">
        <v>1408</v>
      </c>
      <c r="N1410">
        <f t="shared" si="89"/>
        <v>0</v>
      </c>
      <c r="O1410">
        <f ca="1">SUM($N$2:N1410)/M1410</f>
        <v>110.90668465630969</v>
      </c>
    </row>
    <row r="1411" spans="1:15" x14ac:dyDescent="0.2">
      <c r="A1411">
        <v>1409</v>
      </c>
      <c r="B1411" s="11">
        <f t="shared" ref="B1411:B1474" si="90">IF(ARCap-IF((A1411-IF(A1411/180&gt;1,ROUNDDOWN(A1411/180,0)*180,0))/30&lt;=1,IF(200*15*BaseSpeed/60*(YellowConnects+WhiteMHConnects+WhiteOHConnects+HoJConnects+WindfuryConnects+SSConnects+IronfoeConnects)*(A1411-180*ROUNDDOWN(A1411/180,0))&gt;1200,1200,200*15*BaseSpeed/60*(YellowConnects+WhiteMHConnects+WhiteOHConnects+HoJConnects+WindfuryConnects+SSConnects+IronfoeConnects)*(A1411-180*ROUNDDOWN(A1411/180,0))),0)&lt;0,ARCap,IF((A1411-IF(A1411/180&gt;1,ROUNDDOWN(A1410/180,0)*180,0))/30&lt;=1,IF(200*15*BaseSpeed/60*(YellowConnects+WhiteMHConnects+WhiteOHConnects+HoJConnects+WindfuryConnects+SSConnects+IronfoeConnects)*(A1411-180*ROUNDDOWN(A1411/180,0))&gt;1200,1200,200*15*BaseSpeed/60*(YellowConnects+WhiteMHConnects+WhiteOHConnects+HoJConnects+WindfuryConnects+SSConnects+IronfoeConnects)*(A1411-180*ROUNDDOWN(A1411/180,0))),0))</f>
        <v>0</v>
      </c>
      <c r="C1411">
        <f ca="1">SUM($B$2:B1411)/A1411</f>
        <v>108.8927157032371</v>
      </c>
      <c r="E1411">
        <v>1409</v>
      </c>
      <c r="F1411" s="11">
        <f t="shared" ref="F1411:F1474" si="91">IF(ARCap-IF((A1411-IF(A1411/180&gt;1,ROUNDDOWN(A1411/180,0)*180,0))/30&lt;=1,IF(200*15*BaseSpeed/60*(YellowConnects20+WhiteMHConnects20+WhiteOHConnects20+HoJConnects20+WindfuryConnects20+SSConnects20+IronfoeConnects20)*(A1411-180*ROUNDDOWN(A1411/180,0))&gt;1200,1200,200*15*BaseSpeed/60*(YellowConnects20+WhiteMHConnects20+WhiteOHConnects20+HoJConnects20+WindfuryConnects20+SSConnects20+IronfoeConnects20)*(A1411-180*ROUNDDOWN(A1411/180,0))),0)&lt;0,ARCap,IF((A1411-IF(A1411/180&gt;1,ROUNDDOWN(A1411/180,0)*180,0))/30&lt;=1,IF(200*15*BaseSpeed/60*(YellowConnects20+WhiteMHConnects20+WhiteOHConnects20+HoJConnects20+WindfuryConnects20+SSConnects20+IronfoeConnects20)*(A1411-180*ROUNDDOWN(A1411/180,0))&gt;1200,1200,200*15*BaseSpeed/60*(YellowConnects20+WhiteMHConnects20+WhiteOHConnects20+HoJConnects20+WindfuryConnects20+SSConnects20+IronfoeConnects20)*(A1411-180*ROUNDDOWN(A1411/180,0))),0))</f>
        <v>0</v>
      </c>
      <c r="G1411">
        <f ca="1">SUM($F$2:F1411)/E1411</f>
        <v>110.82797160829244</v>
      </c>
      <c r="I1411">
        <v>1409</v>
      </c>
      <c r="J1411">
        <f t="shared" ref="J1411:J1474" si="92">IF(ARCap-(B1411+BRE)&lt;0,ARCap,B1411+BRE)</f>
        <v>0</v>
      </c>
      <c r="K1411">
        <f ca="1">SUM($J$2:J1411)/I1411</f>
        <v>108.8927157032371</v>
      </c>
      <c r="M1411">
        <v>1409</v>
      </c>
      <c r="N1411">
        <f t="shared" ref="N1411:N1474" si="93">IF(ARCap-(F1411+BREArmorReduction20)&lt;0,ARCap,F1411+BREArmorReduction20)</f>
        <v>0</v>
      </c>
      <c r="O1411">
        <f ca="1">SUM($N$2:N1411)/M1411</f>
        <v>110.82797160829244</v>
      </c>
    </row>
    <row r="1412" spans="1:15" x14ac:dyDescent="0.2">
      <c r="A1412">
        <v>1410</v>
      </c>
      <c r="B1412" s="11">
        <f t="shared" si="90"/>
        <v>0</v>
      </c>
      <c r="C1412">
        <f ca="1">SUM($B$2:B1412)/A1412</f>
        <v>108.81548682685182</v>
      </c>
      <c r="E1412">
        <v>1410</v>
      </c>
      <c r="F1412" s="11">
        <f t="shared" si="91"/>
        <v>0</v>
      </c>
      <c r="G1412">
        <f ca="1">SUM($F$2:F1412)/E1412</f>
        <v>110.74937020998868</v>
      </c>
      <c r="I1412">
        <v>1410</v>
      </c>
      <c r="J1412">
        <f t="shared" si="92"/>
        <v>0</v>
      </c>
      <c r="K1412">
        <f ca="1">SUM($J$2:J1412)/I1412</f>
        <v>108.81548682685182</v>
      </c>
      <c r="M1412">
        <v>1410</v>
      </c>
      <c r="N1412">
        <f t="shared" si="93"/>
        <v>0</v>
      </c>
      <c r="O1412">
        <f ca="1">SUM($N$2:N1412)/M1412</f>
        <v>110.74937020998868</v>
      </c>
    </row>
    <row r="1413" spans="1:15" x14ac:dyDescent="0.2">
      <c r="A1413">
        <v>1411</v>
      </c>
      <c r="B1413" s="11">
        <f t="shared" si="90"/>
        <v>0</v>
      </c>
      <c r="C1413">
        <f ca="1">SUM($B$2:B1413)/A1413</f>
        <v>108.73836741733599</v>
      </c>
      <c r="E1413">
        <v>1411</v>
      </c>
      <c r="F1413" s="11">
        <f t="shared" si="91"/>
        <v>0</v>
      </c>
      <c r="G1413">
        <f ca="1">SUM($F$2:F1413)/E1413</f>
        <v>110.67088022401421</v>
      </c>
      <c r="I1413">
        <v>1411</v>
      </c>
      <c r="J1413">
        <f t="shared" si="92"/>
        <v>0</v>
      </c>
      <c r="K1413">
        <f ca="1">SUM($J$2:J1413)/I1413</f>
        <v>108.73836741733599</v>
      </c>
      <c r="M1413">
        <v>1411</v>
      </c>
      <c r="N1413">
        <f t="shared" si="93"/>
        <v>0</v>
      </c>
      <c r="O1413">
        <f ca="1">SUM($N$2:N1413)/M1413</f>
        <v>110.67088022401421</v>
      </c>
    </row>
    <row r="1414" spans="1:15" x14ac:dyDescent="0.2">
      <c r="A1414">
        <v>1412</v>
      </c>
      <c r="B1414" s="11">
        <f t="shared" si="90"/>
        <v>0</v>
      </c>
      <c r="C1414">
        <f ca="1">SUM($B$2:B1414)/A1414</f>
        <v>108.66135724211125</v>
      </c>
      <c r="E1414">
        <v>1412</v>
      </c>
      <c r="F1414" s="11">
        <f t="shared" si="91"/>
        <v>0</v>
      </c>
      <c r="G1414">
        <f ca="1">SUM($F$2:F1414)/E1414</f>
        <v>110.59250141365726</v>
      </c>
      <c r="I1414">
        <v>1412</v>
      </c>
      <c r="J1414">
        <f t="shared" si="92"/>
        <v>0</v>
      </c>
      <c r="K1414">
        <f ca="1">SUM($J$2:J1414)/I1414</f>
        <v>108.66135724211125</v>
      </c>
      <c r="M1414">
        <v>1412</v>
      </c>
      <c r="N1414">
        <f t="shared" si="93"/>
        <v>0</v>
      </c>
      <c r="O1414">
        <f ca="1">SUM($N$2:N1414)/M1414</f>
        <v>110.59250141365726</v>
      </c>
    </row>
    <row r="1415" spans="1:15" x14ac:dyDescent="0.2">
      <c r="A1415">
        <v>1413</v>
      </c>
      <c r="B1415" s="11">
        <f t="shared" si="90"/>
        <v>0</v>
      </c>
      <c r="C1415">
        <f ca="1">SUM($B$2:B1415)/A1415</f>
        <v>108.58445606925767</v>
      </c>
      <c r="E1415">
        <v>1413</v>
      </c>
      <c r="F1415" s="11">
        <f t="shared" si="91"/>
        <v>0</v>
      </c>
      <c r="G1415">
        <f ca="1">SUM($F$2:F1415)/E1415</f>
        <v>110.51423354287618</v>
      </c>
      <c r="I1415">
        <v>1413</v>
      </c>
      <c r="J1415">
        <f t="shared" si="92"/>
        <v>0</v>
      </c>
      <c r="K1415">
        <f ca="1">SUM($J$2:J1415)/I1415</f>
        <v>108.58445606925767</v>
      </c>
      <c r="M1415">
        <v>1413</v>
      </c>
      <c r="N1415">
        <f t="shared" si="93"/>
        <v>0</v>
      </c>
      <c r="O1415">
        <f ca="1">SUM($N$2:N1415)/M1415</f>
        <v>110.51423354287618</v>
      </c>
    </row>
    <row r="1416" spans="1:15" x14ac:dyDescent="0.2">
      <c r="A1416">
        <v>1414</v>
      </c>
      <c r="B1416" s="11">
        <f t="shared" si="90"/>
        <v>0</v>
      </c>
      <c r="C1416">
        <f ca="1">SUM($B$2:B1416)/A1416</f>
        <v>108.50766366751138</v>
      </c>
      <c r="E1416">
        <v>1414</v>
      </c>
      <c r="F1416" s="11">
        <f t="shared" si="91"/>
        <v>0</v>
      </c>
      <c r="G1416">
        <f ca="1">SUM($F$2:F1416)/E1416</f>
        <v>110.43607637629707</v>
      </c>
      <c r="I1416">
        <v>1414</v>
      </c>
      <c r="J1416">
        <f t="shared" si="92"/>
        <v>0</v>
      </c>
      <c r="K1416">
        <f ca="1">SUM($J$2:J1416)/I1416</f>
        <v>108.50766366751138</v>
      </c>
      <c r="M1416">
        <v>1414</v>
      </c>
      <c r="N1416">
        <f t="shared" si="93"/>
        <v>0</v>
      </c>
      <c r="O1416">
        <f ca="1">SUM($N$2:N1416)/M1416</f>
        <v>110.43607637629707</v>
      </c>
    </row>
    <row r="1417" spans="1:15" x14ac:dyDescent="0.2">
      <c r="A1417">
        <v>1415</v>
      </c>
      <c r="B1417" s="11">
        <f t="shared" si="90"/>
        <v>0</v>
      </c>
      <c r="C1417">
        <f ca="1">SUM($B$2:B1417)/A1417</f>
        <v>108.43097980626224</v>
      </c>
      <c r="E1417">
        <v>1415</v>
      </c>
      <c r="F1417" s="11">
        <f t="shared" si="91"/>
        <v>0</v>
      </c>
      <c r="G1417">
        <f ca="1">SUM($F$2:F1417)/E1417</f>
        <v>110.35802967921134</v>
      </c>
      <c r="I1417">
        <v>1415</v>
      </c>
      <c r="J1417">
        <f t="shared" si="92"/>
        <v>0</v>
      </c>
      <c r="K1417">
        <f ca="1">SUM($J$2:J1417)/I1417</f>
        <v>108.43097980626224</v>
      </c>
      <c r="M1417">
        <v>1415</v>
      </c>
      <c r="N1417">
        <f t="shared" si="93"/>
        <v>0</v>
      </c>
      <c r="O1417">
        <f ca="1">SUM($N$2:N1417)/M1417</f>
        <v>110.35802967921134</v>
      </c>
    </row>
    <row r="1418" spans="1:15" x14ac:dyDescent="0.2">
      <c r="A1418">
        <v>1416</v>
      </c>
      <c r="B1418" s="11">
        <f t="shared" si="90"/>
        <v>0</v>
      </c>
      <c r="C1418">
        <f ca="1">SUM($B$2:B1418)/A1418</f>
        <v>108.35440425555161</v>
      </c>
      <c r="E1418">
        <v>1416</v>
      </c>
      <c r="F1418" s="11">
        <f t="shared" si="91"/>
        <v>0</v>
      </c>
      <c r="G1418">
        <f ca="1">SUM($F$2:F1418)/E1418</f>
        <v>110.28009321757348</v>
      </c>
      <c r="I1418">
        <v>1416</v>
      </c>
      <c r="J1418">
        <f t="shared" si="92"/>
        <v>0</v>
      </c>
      <c r="K1418">
        <f ca="1">SUM($J$2:J1418)/I1418</f>
        <v>108.35440425555161</v>
      </c>
      <c r="M1418">
        <v>1416</v>
      </c>
      <c r="N1418">
        <f t="shared" si="93"/>
        <v>0</v>
      </c>
      <c r="O1418">
        <f ca="1">SUM($N$2:N1418)/M1418</f>
        <v>110.28009321757348</v>
      </c>
    </row>
    <row r="1419" spans="1:15" x14ac:dyDescent="0.2">
      <c r="A1419">
        <v>1417</v>
      </c>
      <c r="B1419" s="11">
        <f t="shared" si="90"/>
        <v>0</v>
      </c>
      <c r="C1419">
        <f ca="1">SUM($B$2:B1419)/A1419</f>
        <v>108.27793678606993</v>
      </c>
      <c r="E1419">
        <v>1417</v>
      </c>
      <c r="F1419" s="11">
        <f t="shared" si="91"/>
        <v>0</v>
      </c>
      <c r="G1419">
        <f ca="1">SUM($F$2:F1419)/E1419</f>
        <v>110.20226675799861</v>
      </c>
      <c r="I1419">
        <v>1417</v>
      </c>
      <c r="J1419">
        <f t="shared" si="92"/>
        <v>0</v>
      </c>
      <c r="K1419">
        <f ca="1">SUM($J$2:J1419)/I1419</f>
        <v>108.27793678606993</v>
      </c>
      <c r="M1419">
        <v>1417</v>
      </c>
      <c r="N1419">
        <f t="shared" si="93"/>
        <v>0</v>
      </c>
      <c r="O1419">
        <f ca="1">SUM($N$2:N1419)/M1419</f>
        <v>110.20226675799861</v>
      </c>
    </row>
    <row r="1420" spans="1:15" x14ac:dyDescent="0.2">
      <c r="A1420">
        <v>1418</v>
      </c>
      <c r="B1420" s="11">
        <f t="shared" si="90"/>
        <v>0</v>
      </c>
      <c r="C1420">
        <f ca="1">SUM($B$2:B1420)/A1420</f>
        <v>108.2015771691545</v>
      </c>
      <c r="E1420">
        <v>1418</v>
      </c>
      <c r="F1420" s="11">
        <f t="shared" si="91"/>
        <v>0</v>
      </c>
      <c r="G1420">
        <f ca="1">SUM($F$2:F1420)/E1420</f>
        <v>110.12455006776025</v>
      </c>
      <c r="I1420">
        <v>1418</v>
      </c>
      <c r="J1420">
        <f t="shared" si="92"/>
        <v>0</v>
      </c>
      <c r="K1420">
        <f ca="1">SUM($J$2:J1420)/I1420</f>
        <v>108.2015771691545</v>
      </c>
      <c r="M1420">
        <v>1418</v>
      </c>
      <c r="N1420">
        <f t="shared" si="93"/>
        <v>0</v>
      </c>
      <c r="O1420">
        <f ca="1">SUM($N$2:N1420)/M1420</f>
        <v>110.12455006776025</v>
      </c>
    </row>
    <row r="1421" spans="1:15" x14ac:dyDescent="0.2">
      <c r="A1421">
        <v>1419</v>
      </c>
      <c r="B1421" s="11">
        <f t="shared" si="90"/>
        <v>0</v>
      </c>
      <c r="C1421">
        <f ca="1">SUM($B$2:B1421)/A1421</f>
        <v>108.12532517678723</v>
      </c>
      <c r="E1421">
        <v>1419</v>
      </c>
      <c r="F1421" s="11">
        <f t="shared" si="91"/>
        <v>0</v>
      </c>
      <c r="G1421">
        <f ca="1">SUM($F$2:F1421)/E1421</f>
        <v>110.04694291478791</v>
      </c>
      <c r="I1421">
        <v>1419</v>
      </c>
      <c r="J1421">
        <f t="shared" si="92"/>
        <v>0</v>
      </c>
      <c r="K1421">
        <f ca="1">SUM($J$2:J1421)/I1421</f>
        <v>108.12532517678723</v>
      </c>
      <c r="M1421">
        <v>1419</v>
      </c>
      <c r="N1421">
        <f t="shared" si="93"/>
        <v>0</v>
      </c>
      <c r="O1421">
        <f ca="1">SUM($N$2:N1421)/M1421</f>
        <v>110.04694291478791</v>
      </c>
    </row>
    <row r="1422" spans="1:15" x14ac:dyDescent="0.2">
      <c r="A1422">
        <v>1420</v>
      </c>
      <c r="B1422" s="11">
        <f t="shared" si="90"/>
        <v>0</v>
      </c>
      <c r="C1422">
        <f ca="1">SUM($B$2:B1422)/A1422</f>
        <v>108.04918058159231</v>
      </c>
      <c r="E1422">
        <v>1420</v>
      </c>
      <c r="F1422" s="11">
        <f t="shared" si="91"/>
        <v>0</v>
      </c>
      <c r="G1422">
        <f ca="1">SUM($F$2:F1422)/E1422</f>
        <v>109.96944506766482</v>
      </c>
      <c r="I1422">
        <v>1420</v>
      </c>
      <c r="J1422">
        <f t="shared" si="92"/>
        <v>0</v>
      </c>
      <c r="K1422">
        <f ca="1">SUM($J$2:J1422)/I1422</f>
        <v>108.04918058159231</v>
      </c>
      <c r="M1422">
        <v>1420</v>
      </c>
      <c r="N1422">
        <f t="shared" si="93"/>
        <v>0</v>
      </c>
      <c r="O1422">
        <f ca="1">SUM($N$2:N1422)/M1422</f>
        <v>109.96944506766482</v>
      </c>
    </row>
    <row r="1423" spans="1:15" x14ac:dyDescent="0.2">
      <c r="A1423">
        <v>1421</v>
      </c>
      <c r="B1423" s="11">
        <f t="shared" si="90"/>
        <v>0</v>
      </c>
      <c r="C1423">
        <f ca="1">SUM($B$2:B1423)/A1423</f>
        <v>107.97314315683398</v>
      </c>
      <c r="E1423">
        <v>1421</v>
      </c>
      <c r="F1423" s="11">
        <f t="shared" si="91"/>
        <v>0</v>
      </c>
      <c r="G1423">
        <f ca="1">SUM($F$2:F1423)/E1423</f>
        <v>109.89205629562565</v>
      </c>
      <c r="I1423">
        <v>1421</v>
      </c>
      <c r="J1423">
        <f t="shared" si="92"/>
        <v>0</v>
      </c>
      <c r="K1423">
        <f ca="1">SUM($J$2:J1423)/I1423</f>
        <v>107.97314315683398</v>
      </c>
      <c r="M1423">
        <v>1421</v>
      </c>
      <c r="N1423">
        <f t="shared" si="93"/>
        <v>0</v>
      </c>
      <c r="O1423">
        <f ca="1">SUM($N$2:N1423)/M1423</f>
        <v>109.89205629562565</v>
      </c>
    </row>
    <row r="1424" spans="1:15" x14ac:dyDescent="0.2">
      <c r="A1424">
        <v>1422</v>
      </c>
      <c r="B1424" s="11">
        <f t="shared" si="90"/>
        <v>0</v>
      </c>
      <c r="C1424">
        <f ca="1">SUM($B$2:B1424)/A1424</f>
        <v>107.89721267641426</v>
      </c>
      <c r="E1424">
        <v>1422</v>
      </c>
      <c r="F1424" s="11">
        <f t="shared" si="91"/>
        <v>0</v>
      </c>
      <c r="G1424">
        <f ca="1">SUM($F$2:F1424)/E1424</f>
        <v>109.81477636855418</v>
      </c>
      <c r="I1424">
        <v>1422</v>
      </c>
      <c r="J1424">
        <f t="shared" si="92"/>
        <v>0</v>
      </c>
      <c r="K1424">
        <f ca="1">SUM($J$2:J1424)/I1424</f>
        <v>107.89721267641426</v>
      </c>
      <c r="M1424">
        <v>1422</v>
      </c>
      <c r="N1424">
        <f t="shared" si="93"/>
        <v>0</v>
      </c>
      <c r="O1424">
        <f ca="1">SUM($N$2:N1424)/M1424</f>
        <v>109.81477636855418</v>
      </c>
    </row>
    <row r="1425" spans="1:15" x14ac:dyDescent="0.2">
      <c r="A1425">
        <v>1423</v>
      </c>
      <c r="B1425" s="11">
        <f t="shared" si="90"/>
        <v>0</v>
      </c>
      <c r="C1425">
        <f ca="1">SUM($B$2:B1425)/A1425</f>
        <v>107.82138891487075</v>
      </c>
      <c r="E1425">
        <v>1423</v>
      </c>
      <c r="F1425" s="11">
        <f t="shared" si="91"/>
        <v>0</v>
      </c>
      <c r="G1425">
        <f ca="1">SUM($F$2:F1425)/E1425</f>
        <v>109.73760505698105</v>
      </c>
      <c r="I1425">
        <v>1423</v>
      </c>
      <c r="J1425">
        <f t="shared" si="92"/>
        <v>0</v>
      </c>
      <c r="K1425">
        <f ca="1">SUM($J$2:J1425)/I1425</f>
        <v>107.82138891487075</v>
      </c>
      <c r="M1425">
        <v>1423</v>
      </c>
      <c r="N1425">
        <f t="shared" si="93"/>
        <v>0</v>
      </c>
      <c r="O1425">
        <f ca="1">SUM($N$2:N1425)/M1425</f>
        <v>109.73760505698105</v>
      </c>
    </row>
    <row r="1426" spans="1:15" x14ac:dyDescent="0.2">
      <c r="A1426">
        <v>1424</v>
      </c>
      <c r="B1426" s="11">
        <f t="shared" si="90"/>
        <v>0</v>
      </c>
      <c r="C1426">
        <f ca="1">SUM($B$2:B1426)/A1426</f>
        <v>107.74567164737435</v>
      </c>
      <c r="E1426">
        <v>1424</v>
      </c>
      <c r="F1426" s="11">
        <f t="shared" si="91"/>
        <v>0</v>
      </c>
      <c r="G1426">
        <f ca="1">SUM($F$2:F1426)/E1426</f>
        <v>109.66054213208149</v>
      </c>
      <c r="I1426">
        <v>1424</v>
      </c>
      <c r="J1426">
        <f t="shared" si="92"/>
        <v>0</v>
      </c>
      <c r="K1426">
        <f ca="1">SUM($J$2:J1426)/I1426</f>
        <v>107.74567164737435</v>
      </c>
      <c r="M1426">
        <v>1424</v>
      </c>
      <c r="N1426">
        <f t="shared" si="93"/>
        <v>0</v>
      </c>
      <c r="O1426">
        <f ca="1">SUM($N$2:N1426)/M1426</f>
        <v>109.66054213208149</v>
      </c>
    </row>
    <row r="1427" spans="1:15" x14ac:dyDescent="0.2">
      <c r="A1427">
        <v>1425</v>
      </c>
      <c r="B1427" s="11">
        <f t="shared" si="90"/>
        <v>0</v>
      </c>
      <c r="C1427">
        <f ca="1">SUM($B$2:B1427)/A1427</f>
        <v>107.67006064972708</v>
      </c>
      <c r="E1427">
        <v>1425</v>
      </c>
      <c r="F1427" s="11">
        <f t="shared" si="91"/>
        <v>0</v>
      </c>
      <c r="G1427">
        <f ca="1">SUM($F$2:F1427)/E1427</f>
        <v>109.58358736567301</v>
      </c>
      <c r="I1427">
        <v>1425</v>
      </c>
      <c r="J1427">
        <f t="shared" si="92"/>
        <v>0</v>
      </c>
      <c r="K1427">
        <f ca="1">SUM($J$2:J1427)/I1427</f>
        <v>107.67006064972708</v>
      </c>
      <c r="M1427">
        <v>1425</v>
      </c>
      <c r="N1427">
        <f t="shared" si="93"/>
        <v>0</v>
      </c>
      <c r="O1427">
        <f ca="1">SUM($N$2:N1427)/M1427</f>
        <v>109.58358736567301</v>
      </c>
    </row>
    <row r="1428" spans="1:15" x14ac:dyDescent="0.2">
      <c r="A1428">
        <v>1426</v>
      </c>
      <c r="B1428" s="11">
        <f t="shared" si="90"/>
        <v>0</v>
      </c>
      <c r="C1428">
        <f ca="1">SUM($B$2:B1428)/A1428</f>
        <v>107.5945556983598</v>
      </c>
      <c r="E1428">
        <v>1426</v>
      </c>
      <c r="F1428" s="11">
        <f t="shared" si="91"/>
        <v>0</v>
      </c>
      <c r="G1428">
        <f ca="1">SUM($F$2:F1428)/E1428</f>
        <v>109.50674053021322</v>
      </c>
      <c r="I1428">
        <v>1426</v>
      </c>
      <c r="J1428">
        <f t="shared" si="92"/>
        <v>0</v>
      </c>
      <c r="K1428">
        <f ca="1">SUM($J$2:J1428)/I1428</f>
        <v>107.5945556983598</v>
      </c>
      <c r="M1428">
        <v>1426</v>
      </c>
      <c r="N1428">
        <f t="shared" si="93"/>
        <v>0</v>
      </c>
      <c r="O1428">
        <f ca="1">SUM($N$2:N1428)/M1428</f>
        <v>109.50674053021322</v>
      </c>
    </row>
    <row r="1429" spans="1:15" x14ac:dyDescent="0.2">
      <c r="A1429">
        <v>1427</v>
      </c>
      <c r="B1429" s="11">
        <f t="shared" si="90"/>
        <v>0</v>
      </c>
      <c r="C1429">
        <f ca="1">SUM($B$2:B1429)/A1429</f>
        <v>107.51915657033013</v>
      </c>
      <c r="E1429">
        <v>1427</v>
      </c>
      <c r="F1429" s="11">
        <f t="shared" si="91"/>
        <v>0</v>
      </c>
      <c r="G1429">
        <f ca="1">SUM($F$2:F1429)/E1429</f>
        <v>109.43000139879751</v>
      </c>
      <c r="I1429">
        <v>1427</v>
      </c>
      <c r="J1429">
        <f t="shared" si="92"/>
        <v>0</v>
      </c>
      <c r="K1429">
        <f ca="1">SUM($J$2:J1429)/I1429</f>
        <v>107.51915657033013</v>
      </c>
      <c r="M1429">
        <v>1427</v>
      </c>
      <c r="N1429">
        <f t="shared" si="93"/>
        <v>0</v>
      </c>
      <c r="O1429">
        <f ca="1">SUM($N$2:N1429)/M1429</f>
        <v>109.43000139879751</v>
      </c>
    </row>
    <row r="1430" spans="1:15" x14ac:dyDescent="0.2">
      <c r="A1430">
        <v>1428</v>
      </c>
      <c r="B1430" s="11">
        <f t="shared" si="90"/>
        <v>0</v>
      </c>
      <c r="C1430">
        <f ca="1">SUM($B$2:B1430)/A1430</f>
        <v>107.44386304332008</v>
      </c>
      <c r="E1430">
        <v>1428</v>
      </c>
      <c r="F1430" s="11">
        <f t="shared" si="91"/>
        <v>0</v>
      </c>
      <c r="G1430">
        <f ca="1">SUM($F$2:F1430)/E1430</f>
        <v>109.3533697451569</v>
      </c>
      <c r="I1430">
        <v>1428</v>
      </c>
      <c r="J1430">
        <f t="shared" si="92"/>
        <v>0</v>
      </c>
      <c r="K1430">
        <f ca="1">SUM($J$2:J1430)/I1430</f>
        <v>107.44386304332008</v>
      </c>
      <c r="M1430">
        <v>1428</v>
      </c>
      <c r="N1430">
        <f t="shared" si="93"/>
        <v>0</v>
      </c>
      <c r="O1430">
        <f ca="1">SUM($N$2:N1430)/M1430</f>
        <v>109.3533697451569</v>
      </c>
    </row>
    <row r="1431" spans="1:15" x14ac:dyDescent="0.2">
      <c r="A1431">
        <v>1429</v>
      </c>
      <c r="B1431" s="11">
        <f t="shared" si="90"/>
        <v>0</v>
      </c>
      <c r="C1431">
        <f ca="1">SUM($B$2:B1431)/A1431</f>
        <v>107.36867489563407</v>
      </c>
      <c r="E1431">
        <v>1429</v>
      </c>
      <c r="F1431" s="11">
        <f t="shared" si="91"/>
        <v>0</v>
      </c>
      <c r="G1431">
        <f ca="1">SUM($F$2:F1431)/E1431</f>
        <v>109.27684534365574</v>
      </c>
      <c r="I1431">
        <v>1429</v>
      </c>
      <c r="J1431">
        <f t="shared" si="92"/>
        <v>0</v>
      </c>
      <c r="K1431">
        <f ca="1">SUM($J$2:J1431)/I1431</f>
        <v>107.36867489563407</v>
      </c>
      <c r="M1431">
        <v>1429</v>
      </c>
      <c r="N1431">
        <f t="shared" si="93"/>
        <v>0</v>
      </c>
      <c r="O1431">
        <f ca="1">SUM($N$2:N1431)/M1431</f>
        <v>109.27684534365574</v>
      </c>
    </row>
    <row r="1432" spans="1:15" x14ac:dyDescent="0.2">
      <c r="A1432">
        <v>1430</v>
      </c>
      <c r="B1432" s="11">
        <f t="shared" si="90"/>
        <v>0</v>
      </c>
      <c r="C1432">
        <f ca="1">SUM($B$2:B1432)/A1432</f>
        <v>107.29359190619657</v>
      </c>
      <c r="E1432">
        <v>1430</v>
      </c>
      <c r="F1432" s="11">
        <f t="shared" si="91"/>
        <v>0</v>
      </c>
      <c r="G1432">
        <f ca="1">SUM($F$2:F1432)/E1432</f>
        <v>109.20042796928954</v>
      </c>
      <c r="I1432">
        <v>1430</v>
      </c>
      <c r="J1432">
        <f t="shared" si="92"/>
        <v>0</v>
      </c>
      <c r="K1432">
        <f ca="1">SUM($J$2:J1432)/I1432</f>
        <v>107.29359190619657</v>
      </c>
      <c r="M1432">
        <v>1430</v>
      </c>
      <c r="N1432">
        <f t="shared" si="93"/>
        <v>0</v>
      </c>
      <c r="O1432">
        <f ca="1">SUM($N$2:N1432)/M1432</f>
        <v>109.20042796928954</v>
      </c>
    </row>
    <row r="1433" spans="1:15" x14ac:dyDescent="0.2">
      <c r="A1433">
        <v>1431</v>
      </c>
      <c r="B1433" s="11">
        <f t="shared" si="90"/>
        <v>0</v>
      </c>
      <c r="C1433">
        <f ca="1">SUM($B$2:B1433)/A1433</f>
        <v>107.21861385455003</v>
      </c>
      <c r="E1433">
        <v>1431</v>
      </c>
      <c r="F1433" s="11">
        <f t="shared" si="91"/>
        <v>0</v>
      </c>
      <c r="G1433">
        <f ca="1">SUM($F$2:F1433)/E1433</f>
        <v>109.12411739768277</v>
      </c>
      <c r="I1433">
        <v>1431</v>
      </c>
      <c r="J1433">
        <f t="shared" si="92"/>
        <v>0</v>
      </c>
      <c r="K1433">
        <f ca="1">SUM($J$2:J1433)/I1433</f>
        <v>107.21861385455003</v>
      </c>
      <c r="M1433">
        <v>1431</v>
      </c>
      <c r="N1433">
        <f t="shared" si="93"/>
        <v>0</v>
      </c>
      <c r="O1433">
        <f ca="1">SUM($N$2:N1433)/M1433</f>
        <v>109.12411739768277</v>
      </c>
    </row>
    <row r="1434" spans="1:15" x14ac:dyDescent="0.2">
      <c r="A1434">
        <v>1432</v>
      </c>
      <c r="B1434" s="11">
        <f t="shared" si="90"/>
        <v>0</v>
      </c>
      <c r="C1434">
        <f ca="1">SUM($B$2:B1434)/A1434</f>
        <v>107.14374052085272</v>
      </c>
      <c r="E1434">
        <v>1432</v>
      </c>
      <c r="F1434" s="11">
        <f t="shared" si="91"/>
        <v>0</v>
      </c>
      <c r="G1434">
        <f ca="1">SUM($F$2:F1434)/E1434</f>
        <v>109.04791340508662</v>
      </c>
      <c r="I1434">
        <v>1432</v>
      </c>
      <c r="J1434">
        <f t="shared" si="92"/>
        <v>0</v>
      </c>
      <c r="K1434">
        <f ca="1">SUM($J$2:J1434)/I1434</f>
        <v>107.14374052085272</v>
      </c>
      <c r="M1434">
        <v>1432</v>
      </c>
      <c r="N1434">
        <f t="shared" si="93"/>
        <v>0</v>
      </c>
      <c r="O1434">
        <f ca="1">SUM($N$2:N1434)/M1434</f>
        <v>109.04791340508662</v>
      </c>
    </row>
    <row r="1435" spans="1:15" x14ac:dyDescent="0.2">
      <c r="A1435">
        <v>1433</v>
      </c>
      <c r="B1435" s="11">
        <f t="shared" si="90"/>
        <v>0</v>
      </c>
      <c r="C1435">
        <f ca="1">SUM($B$2:B1435)/A1435</f>
        <v>107.06897168587653</v>
      </c>
      <c r="E1435">
        <v>1433</v>
      </c>
      <c r="F1435" s="11">
        <f t="shared" si="91"/>
        <v>0</v>
      </c>
      <c r="G1435">
        <f ca="1">SUM($F$2:F1435)/E1435</f>
        <v>108.97181576837686</v>
      </c>
      <c r="I1435">
        <v>1433</v>
      </c>
      <c r="J1435">
        <f t="shared" si="92"/>
        <v>0</v>
      </c>
      <c r="K1435">
        <f ca="1">SUM($J$2:J1435)/I1435</f>
        <v>107.06897168587653</v>
      </c>
      <c r="M1435">
        <v>1433</v>
      </c>
      <c r="N1435">
        <f t="shared" si="93"/>
        <v>0</v>
      </c>
      <c r="O1435">
        <f ca="1">SUM($N$2:N1435)/M1435</f>
        <v>108.97181576837686</v>
      </c>
    </row>
    <row r="1436" spans="1:15" x14ac:dyDescent="0.2">
      <c r="A1436">
        <v>1434</v>
      </c>
      <c r="B1436" s="11">
        <f t="shared" si="90"/>
        <v>0</v>
      </c>
      <c r="C1436">
        <f ca="1">SUM($B$2:B1436)/A1436</f>
        <v>106.99430713100494</v>
      </c>
      <c r="E1436">
        <v>1434</v>
      </c>
      <c r="F1436" s="11">
        <f t="shared" si="91"/>
        <v>0</v>
      </c>
      <c r="G1436">
        <f ca="1">SUM($F$2:F1436)/E1436</f>
        <v>108.89582426505163</v>
      </c>
      <c r="I1436">
        <v>1434</v>
      </c>
      <c r="J1436">
        <f t="shared" si="92"/>
        <v>0</v>
      </c>
      <c r="K1436">
        <f ca="1">SUM($J$2:J1436)/I1436</f>
        <v>106.99430713100494</v>
      </c>
      <c r="M1436">
        <v>1434</v>
      </c>
      <c r="N1436">
        <f t="shared" si="93"/>
        <v>0</v>
      </c>
      <c r="O1436">
        <f ca="1">SUM($N$2:N1436)/M1436</f>
        <v>108.89582426505163</v>
      </c>
    </row>
    <row r="1437" spans="1:15" x14ac:dyDescent="0.2">
      <c r="A1437">
        <v>1435</v>
      </c>
      <c r="B1437" s="11">
        <f t="shared" si="90"/>
        <v>0</v>
      </c>
      <c r="C1437">
        <f ca="1">SUM($B$2:B1437)/A1437</f>
        <v>106.91974663823072</v>
      </c>
      <c r="E1437">
        <v>1435</v>
      </c>
      <c r="F1437" s="11">
        <f t="shared" si="91"/>
        <v>0</v>
      </c>
      <c r="G1437">
        <f ca="1">SUM($F$2:F1437)/E1437</f>
        <v>108.8199386732293</v>
      </c>
      <c r="I1437">
        <v>1435</v>
      </c>
      <c r="J1437">
        <f t="shared" si="92"/>
        <v>0</v>
      </c>
      <c r="K1437">
        <f ca="1">SUM($J$2:J1437)/I1437</f>
        <v>106.91974663823072</v>
      </c>
      <c r="M1437">
        <v>1435</v>
      </c>
      <c r="N1437">
        <f t="shared" si="93"/>
        <v>0</v>
      </c>
      <c r="O1437">
        <f ca="1">SUM($N$2:N1437)/M1437</f>
        <v>108.8199386732293</v>
      </c>
    </row>
    <row r="1438" spans="1:15" x14ac:dyDescent="0.2">
      <c r="A1438">
        <v>1436</v>
      </c>
      <c r="B1438" s="11">
        <f t="shared" si="90"/>
        <v>0</v>
      </c>
      <c r="C1438">
        <f ca="1">SUM($B$2:B1438)/A1438</f>
        <v>106.84528999015396</v>
      </c>
      <c r="E1438">
        <v>1436</v>
      </c>
      <c r="F1438" s="11">
        <f t="shared" si="91"/>
        <v>0</v>
      </c>
      <c r="G1438">
        <f ca="1">SUM($F$2:F1438)/E1438</f>
        <v>108.74415877164627</v>
      </c>
      <c r="I1438">
        <v>1436</v>
      </c>
      <c r="J1438">
        <f t="shared" si="92"/>
        <v>0</v>
      </c>
      <c r="K1438">
        <f ca="1">SUM($J$2:J1438)/I1438</f>
        <v>106.84528999015396</v>
      </c>
      <c r="M1438">
        <v>1436</v>
      </c>
      <c r="N1438">
        <f t="shared" si="93"/>
        <v>0</v>
      </c>
      <c r="O1438">
        <f ca="1">SUM($N$2:N1438)/M1438</f>
        <v>108.74415877164627</v>
      </c>
    </row>
    <row r="1439" spans="1:15" x14ac:dyDescent="0.2">
      <c r="A1439">
        <v>1437</v>
      </c>
      <c r="B1439" s="11">
        <f t="shared" si="90"/>
        <v>0</v>
      </c>
      <c r="C1439">
        <f ca="1">SUM($B$2:B1439)/A1439</f>
        <v>106.77093696997987</v>
      </c>
      <c r="E1439">
        <v>1437</v>
      </c>
      <c r="F1439" s="11">
        <f t="shared" si="91"/>
        <v>0</v>
      </c>
      <c r="G1439">
        <f ca="1">SUM($F$2:F1439)/E1439</f>
        <v>108.66848433965487</v>
      </c>
      <c r="I1439">
        <v>1437</v>
      </c>
      <c r="J1439">
        <f t="shared" si="92"/>
        <v>0</v>
      </c>
      <c r="K1439">
        <f ca="1">SUM($J$2:J1439)/I1439</f>
        <v>106.77093696997987</v>
      </c>
      <c r="M1439">
        <v>1437</v>
      </c>
      <c r="N1439">
        <f t="shared" si="93"/>
        <v>0</v>
      </c>
      <c r="O1439">
        <f ca="1">SUM($N$2:N1439)/M1439</f>
        <v>108.66848433965487</v>
      </c>
    </row>
    <row r="1440" spans="1:15" x14ac:dyDescent="0.2">
      <c r="A1440">
        <v>1438</v>
      </c>
      <c r="B1440" s="11">
        <f t="shared" si="90"/>
        <v>0</v>
      </c>
      <c r="C1440">
        <f ca="1">SUM($B$2:B1440)/A1440</f>
        <v>106.69668736151675</v>
      </c>
      <c r="E1440">
        <v>1438</v>
      </c>
      <c r="F1440" s="11">
        <f t="shared" si="91"/>
        <v>0</v>
      </c>
      <c r="G1440">
        <f ca="1">SUM($F$2:F1440)/E1440</f>
        <v>108.59291515722117</v>
      </c>
      <c r="I1440">
        <v>1438</v>
      </c>
      <c r="J1440">
        <f t="shared" si="92"/>
        <v>0</v>
      </c>
      <c r="K1440">
        <f ca="1">SUM($J$2:J1440)/I1440</f>
        <v>106.69668736151675</v>
      </c>
      <c r="M1440">
        <v>1438</v>
      </c>
      <c r="N1440">
        <f t="shared" si="93"/>
        <v>0</v>
      </c>
      <c r="O1440">
        <f ca="1">SUM($N$2:N1440)/M1440</f>
        <v>108.59291515722117</v>
      </c>
    </row>
    <row r="1441" spans="1:15" x14ac:dyDescent="0.2">
      <c r="A1441">
        <v>1439</v>
      </c>
      <c r="B1441" s="11">
        <f t="shared" si="90"/>
        <v>0</v>
      </c>
      <c r="C1441">
        <f ca="1">SUM($B$2:B1441)/A1441</f>
        <v>106.62254094917378</v>
      </c>
      <c r="E1441">
        <v>1439</v>
      </c>
      <c r="F1441" s="11">
        <f t="shared" si="91"/>
        <v>0</v>
      </c>
      <c r="G1441">
        <f ca="1">SUM($F$2:F1441)/E1441</f>
        <v>108.51745100492289</v>
      </c>
      <c r="I1441">
        <v>1439</v>
      </c>
      <c r="J1441">
        <f t="shared" si="92"/>
        <v>0</v>
      </c>
      <c r="K1441">
        <f ca="1">SUM($J$2:J1441)/I1441</f>
        <v>106.62254094917378</v>
      </c>
      <c r="M1441">
        <v>1439</v>
      </c>
      <c r="N1441">
        <f t="shared" si="93"/>
        <v>0</v>
      </c>
      <c r="O1441">
        <f ca="1">SUM($N$2:N1441)/M1441</f>
        <v>108.51745100492289</v>
      </c>
    </row>
    <row r="1442" spans="1:15" x14ac:dyDescent="0.2">
      <c r="A1442">
        <v>1440</v>
      </c>
      <c r="B1442" s="11">
        <f t="shared" ca="1" si="90"/>
        <v>0</v>
      </c>
      <c r="C1442">
        <f ca="1">SUM($B$2:B1442)/A1442</f>
        <v>106.54849751795908</v>
      </c>
      <c r="E1442">
        <v>1440</v>
      </c>
      <c r="F1442" s="11">
        <f t="shared" ca="1" si="91"/>
        <v>0</v>
      </c>
      <c r="G1442">
        <f ca="1">SUM($F$2:F1442)/E1442</f>
        <v>108.44209166394725</v>
      </c>
      <c r="I1442">
        <v>1440</v>
      </c>
      <c r="J1442">
        <f t="shared" ca="1" si="92"/>
        <v>0</v>
      </c>
      <c r="K1442">
        <f ca="1">SUM($J$2:J1442)/I1442</f>
        <v>106.54849751795908</v>
      </c>
      <c r="M1442">
        <v>1440</v>
      </c>
      <c r="N1442">
        <f t="shared" ca="1" si="93"/>
        <v>0</v>
      </c>
      <c r="O1442">
        <f ca="1">SUM($N$2:N1442)/M1442</f>
        <v>108.44209166394725</v>
      </c>
    </row>
    <row r="1443" spans="1:15" x14ac:dyDescent="0.2">
      <c r="A1443">
        <v>1441</v>
      </c>
      <c r="B1443" s="11">
        <f t="shared" ca="1" si="90"/>
        <v>118.58197021550885</v>
      </c>
      <c r="C1443">
        <f ca="1">SUM($B$2:B1443)/A1443</f>
        <v>106.55684829706911</v>
      </c>
      <c r="E1443">
        <v>1441</v>
      </c>
      <c r="F1443" s="11">
        <f t="shared" ca="1" si="91"/>
        <v>142.35764995105063</v>
      </c>
      <c r="G1443">
        <f ca="1">SUM($F$2:F1443)/E1443</f>
        <v>108.46562779044767</v>
      </c>
      <c r="I1443">
        <v>1441</v>
      </c>
      <c r="J1443">
        <f t="shared" ca="1" si="92"/>
        <v>118.58197021550885</v>
      </c>
      <c r="K1443">
        <f ca="1">SUM($J$2:J1443)/I1443</f>
        <v>106.55684829706911</v>
      </c>
      <c r="M1443">
        <v>1441</v>
      </c>
      <c r="N1443">
        <f t="shared" ca="1" si="93"/>
        <v>142.35764995105063</v>
      </c>
      <c r="O1443">
        <f ca="1">SUM($N$2:N1443)/M1443</f>
        <v>108.46562779044767</v>
      </c>
    </row>
    <row r="1444" spans="1:15" x14ac:dyDescent="0.2">
      <c r="A1444">
        <v>1442</v>
      </c>
      <c r="B1444" s="11">
        <f t="shared" ca="1" si="90"/>
        <v>237.16394043101769</v>
      </c>
      <c r="C1444">
        <f ca="1">SUM($B$2:B1444)/A1444</f>
        <v>106.64742186997755</v>
      </c>
      <c r="E1444">
        <v>1442</v>
      </c>
      <c r="F1444" s="11">
        <f t="shared" ca="1" si="91"/>
        <v>284.71529990210126</v>
      </c>
      <c r="G1444">
        <f ca="1">SUM($F$2:F1444)/E1444</f>
        <v>108.58785363795921</v>
      </c>
      <c r="I1444">
        <v>1442</v>
      </c>
      <c r="J1444">
        <f t="shared" ca="1" si="92"/>
        <v>237.16394043101769</v>
      </c>
      <c r="K1444">
        <f ca="1">SUM($J$2:J1444)/I1444</f>
        <v>106.64742186997755</v>
      </c>
      <c r="M1444">
        <v>1442</v>
      </c>
      <c r="N1444">
        <f t="shared" ca="1" si="93"/>
        <v>284.71529990210126</v>
      </c>
      <c r="O1444">
        <f ca="1">SUM($N$2:N1444)/M1444</f>
        <v>108.58785363795921</v>
      </c>
    </row>
    <row r="1445" spans="1:15" x14ac:dyDescent="0.2">
      <c r="A1445">
        <v>1443</v>
      </c>
      <c r="B1445" s="11">
        <f t="shared" ca="1" si="90"/>
        <v>355.74591064652657</v>
      </c>
      <c r="C1445">
        <f ca="1">SUM($B$2:B1445)/A1445</f>
        <v>106.82004729532512</v>
      </c>
      <c r="E1445">
        <v>1443</v>
      </c>
      <c r="F1445" s="11">
        <f t="shared" ca="1" si="91"/>
        <v>427.0729498531519</v>
      </c>
      <c r="G1445">
        <f ca="1">SUM($F$2:F1445)/E1445</f>
        <v>108.80856403034673</v>
      </c>
      <c r="I1445">
        <v>1443</v>
      </c>
      <c r="J1445">
        <f t="shared" ca="1" si="92"/>
        <v>355.74591064652657</v>
      </c>
      <c r="K1445">
        <f ca="1">SUM($J$2:J1445)/I1445</f>
        <v>106.82004729532512</v>
      </c>
      <c r="M1445">
        <v>1443</v>
      </c>
      <c r="N1445">
        <f t="shared" ca="1" si="93"/>
        <v>427.0729498531519</v>
      </c>
      <c r="O1445">
        <f ca="1">SUM($N$2:N1445)/M1445</f>
        <v>108.80856403034673</v>
      </c>
    </row>
    <row r="1446" spans="1:15" x14ac:dyDescent="0.2">
      <c r="A1446">
        <v>1444</v>
      </c>
      <c r="B1446" s="11">
        <f t="shared" ca="1" si="90"/>
        <v>474.32788086203539</v>
      </c>
      <c r="C1446">
        <f ca="1">SUM($B$2:B1446)/A1446</f>
        <v>107.07455410527436</v>
      </c>
      <c r="E1446">
        <v>1444</v>
      </c>
      <c r="F1446" s="11">
        <f t="shared" ca="1" si="91"/>
        <v>569.43059980420253</v>
      </c>
      <c r="G1446">
        <f ca="1">SUM($F$2:F1446)/E1446</f>
        <v>109.12755435983001</v>
      </c>
      <c r="I1446">
        <v>1444</v>
      </c>
      <c r="J1446">
        <f t="shared" ca="1" si="92"/>
        <v>474.32788086203539</v>
      </c>
      <c r="K1446">
        <f ca="1">SUM($J$2:J1446)/I1446</f>
        <v>107.07455410527436</v>
      </c>
      <c r="M1446">
        <v>1444</v>
      </c>
      <c r="N1446">
        <f t="shared" ca="1" si="93"/>
        <v>569.43059980420253</v>
      </c>
      <c r="O1446">
        <f ca="1">SUM($N$2:N1446)/M1446</f>
        <v>109.12755435983001</v>
      </c>
    </row>
    <row r="1447" spans="1:15" x14ac:dyDescent="0.2">
      <c r="A1447">
        <v>1445</v>
      </c>
      <c r="B1447" s="11">
        <f t="shared" ca="1" si="90"/>
        <v>592.9098510775442</v>
      </c>
      <c r="C1447">
        <f ca="1">SUM($B$2:B1447)/A1447</f>
        <v>107.41077230387108</v>
      </c>
      <c r="E1447">
        <v>1445</v>
      </c>
      <c r="F1447" s="11">
        <f t="shared" ca="1" si="91"/>
        <v>696</v>
      </c>
      <c r="G1447">
        <f ca="1">SUM($F$2:F1447)/E1447</f>
        <v>109.53369446061906</v>
      </c>
      <c r="I1447">
        <v>1445</v>
      </c>
      <c r="J1447">
        <f t="shared" ca="1" si="92"/>
        <v>592.9098510775442</v>
      </c>
      <c r="K1447">
        <f ca="1">SUM($J$2:J1447)/I1447</f>
        <v>107.41077230387108</v>
      </c>
      <c r="M1447">
        <v>1445</v>
      </c>
      <c r="N1447">
        <f t="shared" ca="1" si="93"/>
        <v>696</v>
      </c>
      <c r="O1447">
        <f ca="1">SUM($N$2:N1447)/M1447</f>
        <v>109.53369446061906</v>
      </c>
    </row>
    <row r="1448" spans="1:15" x14ac:dyDescent="0.2">
      <c r="A1448">
        <v>1446</v>
      </c>
      <c r="B1448" s="11">
        <f t="shared" ca="1" si="90"/>
        <v>696</v>
      </c>
      <c r="C1448">
        <f ca="1">SUM($B$2:B1448)/A1448</f>
        <v>107.81781879605374</v>
      </c>
      <c r="E1448">
        <v>1446</v>
      </c>
      <c r="F1448" s="11">
        <f t="shared" ca="1" si="91"/>
        <v>696</v>
      </c>
      <c r="G1448">
        <f ca="1">SUM($F$2:F1448)/E1448</f>
        <v>109.93927281853011</v>
      </c>
      <c r="I1448">
        <v>1446</v>
      </c>
      <c r="J1448">
        <f t="shared" ca="1" si="92"/>
        <v>696</v>
      </c>
      <c r="K1448">
        <f ca="1">SUM($J$2:J1448)/I1448</f>
        <v>107.81781879605374</v>
      </c>
      <c r="M1448">
        <v>1446</v>
      </c>
      <c r="N1448">
        <f t="shared" ca="1" si="93"/>
        <v>696</v>
      </c>
      <c r="O1448">
        <f ca="1">SUM($N$2:N1448)/M1448</f>
        <v>109.93927281853011</v>
      </c>
    </row>
    <row r="1449" spans="1:15" x14ac:dyDescent="0.2">
      <c r="A1449">
        <v>1447</v>
      </c>
      <c r="B1449" s="11">
        <f t="shared" ca="1" si="90"/>
        <v>696</v>
      </c>
      <c r="C1449">
        <f ca="1">SUM($B$2:B1449)/A1449</f>
        <v>108.2243026807835</v>
      </c>
      <c r="E1449">
        <v>1447</v>
      </c>
      <c r="F1449" s="11">
        <f t="shared" ca="1" si="91"/>
        <v>696</v>
      </c>
      <c r="G1449">
        <f ca="1">SUM($F$2:F1449)/E1449</f>
        <v>110.34429059819941</v>
      </c>
      <c r="I1449">
        <v>1447</v>
      </c>
      <c r="J1449">
        <f t="shared" ca="1" si="92"/>
        <v>696</v>
      </c>
      <c r="K1449">
        <f ca="1">SUM($J$2:J1449)/I1449</f>
        <v>108.2243026807835</v>
      </c>
      <c r="M1449">
        <v>1447</v>
      </c>
      <c r="N1449">
        <f t="shared" ca="1" si="93"/>
        <v>696</v>
      </c>
      <c r="O1449">
        <f ca="1">SUM($N$2:N1449)/M1449</f>
        <v>110.34429059819941</v>
      </c>
    </row>
    <row r="1450" spans="1:15" x14ac:dyDescent="0.2">
      <c r="A1450">
        <v>1448</v>
      </c>
      <c r="B1450" s="11">
        <f t="shared" ca="1" si="90"/>
        <v>696</v>
      </c>
      <c r="C1450">
        <f ca="1">SUM($B$2:B1450)/A1450</f>
        <v>108.6302251236835</v>
      </c>
      <c r="E1450">
        <v>1448</v>
      </c>
      <c r="F1450" s="11">
        <f t="shared" ca="1" si="91"/>
        <v>696</v>
      </c>
      <c r="G1450">
        <f ca="1">SUM($F$2:F1450)/E1450</f>
        <v>110.74874896104595</v>
      </c>
      <c r="I1450">
        <v>1448</v>
      </c>
      <c r="J1450">
        <f t="shared" ca="1" si="92"/>
        <v>696</v>
      </c>
      <c r="K1450">
        <f ca="1">SUM($J$2:J1450)/I1450</f>
        <v>108.6302251236835</v>
      </c>
      <c r="M1450">
        <v>1448</v>
      </c>
      <c r="N1450">
        <f t="shared" ca="1" si="93"/>
        <v>696</v>
      </c>
      <c r="O1450">
        <f ca="1">SUM($N$2:N1450)/M1450</f>
        <v>110.74874896104595</v>
      </c>
    </row>
    <row r="1451" spans="1:15" x14ac:dyDescent="0.2">
      <c r="A1451">
        <v>1449</v>
      </c>
      <c r="B1451" s="11">
        <f t="shared" ca="1" si="90"/>
        <v>696</v>
      </c>
      <c r="C1451">
        <f ca="1">SUM($B$2:B1451)/A1451</f>
        <v>109.03558728715923</v>
      </c>
      <c r="E1451">
        <v>1449</v>
      </c>
      <c r="F1451" s="11">
        <f t="shared" ca="1" si="91"/>
        <v>696</v>
      </c>
      <c r="G1451">
        <f ca="1">SUM($F$2:F1451)/E1451</f>
        <v>111.15264906528263</v>
      </c>
      <c r="I1451">
        <v>1449</v>
      </c>
      <c r="J1451">
        <f t="shared" ca="1" si="92"/>
        <v>696</v>
      </c>
      <c r="K1451">
        <f ca="1">SUM($J$2:J1451)/I1451</f>
        <v>109.03558728715923</v>
      </c>
      <c r="M1451">
        <v>1449</v>
      </c>
      <c r="N1451">
        <f t="shared" ca="1" si="93"/>
        <v>696</v>
      </c>
      <c r="O1451">
        <f ca="1">SUM($N$2:N1451)/M1451</f>
        <v>111.15264906528263</v>
      </c>
    </row>
    <row r="1452" spans="1:15" x14ac:dyDescent="0.2">
      <c r="A1452">
        <v>1450</v>
      </c>
      <c r="B1452" s="11">
        <f t="shared" ca="1" si="90"/>
        <v>696</v>
      </c>
      <c r="C1452">
        <f ca="1">SUM($B$2:B1452)/A1452</f>
        <v>109.44039033040946</v>
      </c>
      <c r="E1452">
        <v>1450</v>
      </c>
      <c r="F1452" s="11">
        <f t="shared" ca="1" si="91"/>
        <v>696</v>
      </c>
      <c r="G1452">
        <f ca="1">SUM($F$2:F1452)/E1452</f>
        <v>111.55599206592727</v>
      </c>
      <c r="I1452">
        <v>1450</v>
      </c>
      <c r="J1452">
        <f t="shared" ca="1" si="92"/>
        <v>696</v>
      </c>
      <c r="K1452">
        <f ca="1">SUM($J$2:J1452)/I1452</f>
        <v>109.44039033040946</v>
      </c>
      <c r="M1452">
        <v>1450</v>
      </c>
      <c r="N1452">
        <f t="shared" ca="1" si="93"/>
        <v>696</v>
      </c>
      <c r="O1452">
        <f ca="1">SUM($N$2:N1452)/M1452</f>
        <v>111.55599206592727</v>
      </c>
    </row>
    <row r="1453" spans="1:15" x14ac:dyDescent="0.2">
      <c r="A1453">
        <v>1451</v>
      </c>
      <c r="B1453" s="11">
        <f t="shared" ca="1" si="90"/>
        <v>696</v>
      </c>
      <c r="C1453">
        <f ca="1">SUM($B$2:B1453)/A1453</f>
        <v>109.84463540943743</v>
      </c>
      <c r="E1453">
        <v>1451</v>
      </c>
      <c r="F1453" s="11">
        <f t="shared" ca="1" si="91"/>
        <v>696</v>
      </c>
      <c r="G1453">
        <f ca="1">SUM($F$2:F1453)/E1453</f>
        <v>111.95877911481361</v>
      </c>
      <c r="I1453">
        <v>1451</v>
      </c>
      <c r="J1453">
        <f t="shared" ca="1" si="92"/>
        <v>696</v>
      </c>
      <c r="K1453">
        <f ca="1">SUM($J$2:J1453)/I1453</f>
        <v>109.84463540943743</v>
      </c>
      <c r="M1453">
        <v>1451</v>
      </c>
      <c r="N1453">
        <f t="shared" ca="1" si="93"/>
        <v>696</v>
      </c>
      <c r="O1453">
        <f ca="1">SUM($N$2:N1453)/M1453</f>
        <v>111.95877911481361</v>
      </c>
    </row>
    <row r="1454" spans="1:15" x14ac:dyDescent="0.2">
      <c r="A1454">
        <v>1452</v>
      </c>
      <c r="B1454" s="11">
        <f t="shared" ca="1" si="90"/>
        <v>696</v>
      </c>
      <c r="C1454">
        <f ca="1">SUM($B$2:B1454)/A1454</f>
        <v>110.24832367706179</v>
      </c>
      <c r="E1454">
        <v>1452</v>
      </c>
      <c r="F1454" s="11">
        <f t="shared" ca="1" si="91"/>
        <v>696</v>
      </c>
      <c r="G1454">
        <f ca="1">SUM($F$2:F1454)/E1454</f>
        <v>112.3610113606023</v>
      </c>
      <c r="I1454">
        <v>1452</v>
      </c>
      <c r="J1454">
        <f t="shared" ca="1" si="92"/>
        <v>696</v>
      </c>
      <c r="K1454">
        <f ca="1">SUM($J$2:J1454)/I1454</f>
        <v>110.24832367706179</v>
      </c>
      <c r="M1454">
        <v>1452</v>
      </c>
      <c r="N1454">
        <f t="shared" ca="1" si="93"/>
        <v>696</v>
      </c>
      <c r="O1454">
        <f ca="1">SUM($N$2:N1454)/M1454</f>
        <v>112.3610113606023</v>
      </c>
    </row>
    <row r="1455" spans="1:15" x14ac:dyDescent="0.2">
      <c r="A1455">
        <v>1453</v>
      </c>
      <c r="B1455" s="11">
        <f t="shared" ca="1" si="90"/>
        <v>696</v>
      </c>
      <c r="C1455">
        <f ca="1">SUM($B$2:B1455)/A1455</f>
        <v>110.65145628292754</v>
      </c>
      <c r="E1455">
        <v>1453</v>
      </c>
      <c r="F1455" s="11">
        <f t="shared" ca="1" si="91"/>
        <v>696</v>
      </c>
      <c r="G1455">
        <f ca="1">SUM($F$2:F1455)/E1455</f>
        <v>112.76268994879185</v>
      </c>
      <c r="I1455">
        <v>1453</v>
      </c>
      <c r="J1455">
        <f t="shared" ca="1" si="92"/>
        <v>696</v>
      </c>
      <c r="K1455">
        <f ca="1">SUM($J$2:J1455)/I1455</f>
        <v>110.65145628292754</v>
      </c>
      <c r="M1455">
        <v>1453</v>
      </c>
      <c r="N1455">
        <f t="shared" ca="1" si="93"/>
        <v>696</v>
      </c>
      <c r="O1455">
        <f ca="1">SUM($N$2:N1455)/M1455</f>
        <v>112.76268994879185</v>
      </c>
    </row>
    <row r="1456" spans="1:15" x14ac:dyDescent="0.2">
      <c r="A1456">
        <v>1454</v>
      </c>
      <c r="B1456" s="11">
        <f t="shared" ca="1" si="90"/>
        <v>696</v>
      </c>
      <c r="C1456">
        <f ca="1">SUM($B$2:B1456)/A1456</f>
        <v>111.054034373517</v>
      </c>
      <c r="E1456">
        <v>1454</v>
      </c>
      <c r="F1456" s="11">
        <f t="shared" ca="1" si="91"/>
        <v>696</v>
      </c>
      <c r="G1456">
        <f ca="1">SUM($F$2:F1456)/E1456</f>
        <v>113.1638160217294</v>
      </c>
      <c r="I1456">
        <v>1454</v>
      </c>
      <c r="J1456">
        <f t="shared" ca="1" si="92"/>
        <v>696</v>
      </c>
      <c r="K1456">
        <f ca="1">SUM($J$2:J1456)/I1456</f>
        <v>111.054034373517</v>
      </c>
      <c r="M1456">
        <v>1454</v>
      </c>
      <c r="N1456">
        <f t="shared" ca="1" si="93"/>
        <v>696</v>
      </c>
      <c r="O1456">
        <f ca="1">SUM($N$2:N1456)/M1456</f>
        <v>113.1638160217294</v>
      </c>
    </row>
    <row r="1457" spans="1:15" x14ac:dyDescent="0.2">
      <c r="A1457">
        <v>1455</v>
      </c>
      <c r="B1457" s="11">
        <f t="shared" ca="1" si="90"/>
        <v>696</v>
      </c>
      <c r="C1457">
        <f ca="1">SUM($B$2:B1457)/A1457</f>
        <v>111.45605909216063</v>
      </c>
      <c r="E1457">
        <v>1455</v>
      </c>
      <c r="F1457" s="11">
        <f t="shared" ca="1" si="91"/>
        <v>696</v>
      </c>
      <c r="G1457">
        <f ca="1">SUM($F$2:F1457)/E1457</f>
        <v>113.56439071862168</v>
      </c>
      <c r="I1457">
        <v>1455</v>
      </c>
      <c r="J1457">
        <f t="shared" ca="1" si="92"/>
        <v>696</v>
      </c>
      <c r="K1457">
        <f ca="1">SUM($J$2:J1457)/I1457</f>
        <v>111.45605909216063</v>
      </c>
      <c r="M1457">
        <v>1455</v>
      </c>
      <c r="N1457">
        <f t="shared" ca="1" si="93"/>
        <v>696</v>
      </c>
      <c r="O1457">
        <f ca="1">SUM($N$2:N1457)/M1457</f>
        <v>113.56439071862168</v>
      </c>
    </row>
    <row r="1458" spans="1:15" x14ac:dyDescent="0.2">
      <c r="A1458">
        <v>1456</v>
      </c>
      <c r="B1458" s="11">
        <f t="shared" ca="1" si="90"/>
        <v>696</v>
      </c>
      <c r="C1458">
        <f ca="1">SUM($B$2:B1458)/A1458</f>
        <v>111.85753157904789</v>
      </c>
      <c r="E1458">
        <v>1456</v>
      </c>
      <c r="F1458" s="11">
        <f t="shared" ca="1" si="91"/>
        <v>696</v>
      </c>
      <c r="G1458">
        <f ca="1">SUM($F$2:F1458)/E1458</f>
        <v>113.9644151755457</v>
      </c>
      <c r="I1458">
        <v>1456</v>
      </c>
      <c r="J1458">
        <f t="shared" ca="1" si="92"/>
        <v>696</v>
      </c>
      <c r="K1458">
        <f ca="1">SUM($J$2:J1458)/I1458</f>
        <v>111.85753157904789</v>
      </c>
      <c r="M1458">
        <v>1456</v>
      </c>
      <c r="N1458">
        <f t="shared" ca="1" si="93"/>
        <v>696</v>
      </c>
      <c r="O1458">
        <f ca="1">SUM($N$2:N1458)/M1458</f>
        <v>113.9644151755457</v>
      </c>
    </row>
    <row r="1459" spans="1:15" x14ac:dyDescent="0.2">
      <c r="A1459">
        <v>1457</v>
      </c>
      <c r="B1459" s="11">
        <f t="shared" ca="1" si="90"/>
        <v>696</v>
      </c>
      <c r="C1459">
        <f ca="1">SUM($B$2:B1459)/A1459</f>
        <v>112.25845297123797</v>
      </c>
      <c r="E1459">
        <v>1457</v>
      </c>
      <c r="F1459" s="11">
        <f t="shared" ca="1" si="91"/>
        <v>696</v>
      </c>
      <c r="G1459">
        <f ca="1">SUM($F$2:F1459)/E1459</f>
        <v>114.36389052545954</v>
      </c>
      <c r="I1459">
        <v>1457</v>
      </c>
      <c r="J1459">
        <f t="shared" ca="1" si="92"/>
        <v>696</v>
      </c>
      <c r="K1459">
        <f ca="1">SUM($J$2:J1459)/I1459</f>
        <v>112.25845297123797</v>
      </c>
      <c r="M1459">
        <v>1457</v>
      </c>
      <c r="N1459">
        <f t="shared" ca="1" si="93"/>
        <v>696</v>
      </c>
      <c r="O1459">
        <f ca="1">SUM($N$2:N1459)/M1459</f>
        <v>114.36389052545954</v>
      </c>
    </row>
    <row r="1460" spans="1:15" x14ac:dyDescent="0.2">
      <c r="A1460">
        <v>1458</v>
      </c>
      <c r="B1460" s="11">
        <f t="shared" ca="1" si="90"/>
        <v>696</v>
      </c>
      <c r="C1460">
        <f ca="1">SUM($B$2:B1460)/A1460</f>
        <v>112.65882440267059</v>
      </c>
      <c r="E1460">
        <v>1458</v>
      </c>
      <c r="F1460" s="11">
        <f t="shared" ca="1" si="91"/>
        <v>696</v>
      </c>
      <c r="G1460">
        <f ca="1">SUM($F$2:F1460)/E1460</f>
        <v>114.76281789821299</v>
      </c>
      <c r="I1460">
        <v>1458</v>
      </c>
      <c r="J1460">
        <f t="shared" ca="1" si="92"/>
        <v>696</v>
      </c>
      <c r="K1460">
        <f ca="1">SUM($J$2:J1460)/I1460</f>
        <v>112.65882440267059</v>
      </c>
      <c r="M1460">
        <v>1458</v>
      </c>
      <c r="N1460">
        <f t="shared" ca="1" si="93"/>
        <v>696</v>
      </c>
      <c r="O1460">
        <f ca="1">SUM($N$2:N1460)/M1460</f>
        <v>114.76281789821299</v>
      </c>
    </row>
    <row r="1461" spans="1:15" x14ac:dyDescent="0.2">
      <c r="A1461">
        <v>1459</v>
      </c>
      <c r="B1461" s="11">
        <f t="shared" ca="1" si="90"/>
        <v>696</v>
      </c>
      <c r="C1461">
        <f ca="1">SUM($B$2:B1461)/A1461</f>
        <v>113.05864700417665</v>
      </c>
      <c r="E1461">
        <v>1459</v>
      </c>
      <c r="F1461" s="11">
        <f t="shared" ca="1" si="91"/>
        <v>696</v>
      </c>
      <c r="G1461">
        <f ca="1">SUM($F$2:F1461)/E1461</f>
        <v>115.16119842055829</v>
      </c>
      <c r="I1461">
        <v>1459</v>
      </c>
      <c r="J1461">
        <f t="shared" ca="1" si="92"/>
        <v>696</v>
      </c>
      <c r="K1461">
        <f ca="1">SUM($J$2:J1461)/I1461</f>
        <v>113.05864700417665</v>
      </c>
      <c r="M1461">
        <v>1459</v>
      </c>
      <c r="N1461">
        <f t="shared" ca="1" si="93"/>
        <v>696</v>
      </c>
      <c r="O1461">
        <f ca="1">SUM($N$2:N1461)/M1461</f>
        <v>115.16119842055829</v>
      </c>
    </row>
    <row r="1462" spans="1:15" x14ac:dyDescent="0.2">
      <c r="A1462">
        <v>1460</v>
      </c>
      <c r="B1462" s="11">
        <f t="shared" ca="1" si="90"/>
        <v>696</v>
      </c>
      <c r="C1462">
        <f ca="1">SUM($B$2:B1462)/A1462</f>
        <v>113.45792190348885</v>
      </c>
      <c r="E1462">
        <v>1460</v>
      </c>
      <c r="F1462" s="11">
        <f t="shared" ca="1" si="91"/>
        <v>696</v>
      </c>
      <c r="G1462">
        <f ca="1">SUM($F$2:F1462)/E1462</f>
        <v>115.55903321616064</v>
      </c>
      <c r="I1462">
        <v>1460</v>
      </c>
      <c r="J1462">
        <f t="shared" ca="1" si="92"/>
        <v>696</v>
      </c>
      <c r="K1462">
        <f ca="1">SUM($J$2:J1462)/I1462</f>
        <v>113.45792190348885</v>
      </c>
      <c r="M1462">
        <v>1460</v>
      </c>
      <c r="N1462">
        <f t="shared" ca="1" si="93"/>
        <v>696</v>
      </c>
      <c r="O1462">
        <f ca="1">SUM($N$2:N1462)/M1462</f>
        <v>115.55903321616064</v>
      </c>
    </row>
    <row r="1463" spans="1:15" x14ac:dyDescent="0.2">
      <c r="A1463">
        <v>1461</v>
      </c>
      <c r="B1463" s="11">
        <f t="shared" ca="1" si="90"/>
        <v>696</v>
      </c>
      <c r="C1463">
        <f ca="1">SUM($B$2:B1463)/A1463</f>
        <v>113.85665022525238</v>
      </c>
      <c r="E1463">
        <v>1461</v>
      </c>
      <c r="F1463" s="11">
        <f t="shared" ca="1" si="91"/>
        <v>696</v>
      </c>
      <c r="G1463">
        <f ca="1">SUM($F$2:F1463)/E1463</f>
        <v>115.95632340560886</v>
      </c>
      <c r="I1463">
        <v>1461</v>
      </c>
      <c r="J1463">
        <f t="shared" ca="1" si="92"/>
        <v>696</v>
      </c>
      <c r="K1463">
        <f ca="1">SUM($J$2:J1463)/I1463</f>
        <v>113.85665022525238</v>
      </c>
      <c r="M1463">
        <v>1461</v>
      </c>
      <c r="N1463">
        <f t="shared" ca="1" si="93"/>
        <v>696</v>
      </c>
      <c r="O1463">
        <f ca="1">SUM($N$2:N1463)/M1463</f>
        <v>115.95632340560886</v>
      </c>
    </row>
    <row r="1464" spans="1:15" x14ac:dyDescent="0.2">
      <c r="A1464">
        <v>1462</v>
      </c>
      <c r="B1464" s="11">
        <f t="shared" ca="1" si="90"/>
        <v>696</v>
      </c>
      <c r="C1464">
        <f ca="1">SUM($B$2:B1464)/A1464</f>
        <v>114.25483309103538</v>
      </c>
      <c r="E1464">
        <v>1462</v>
      </c>
      <c r="F1464" s="11">
        <f t="shared" ca="1" si="91"/>
        <v>696</v>
      </c>
      <c r="G1464">
        <f ca="1">SUM($F$2:F1464)/E1464</f>
        <v>116.35307010642582</v>
      </c>
      <c r="I1464">
        <v>1462</v>
      </c>
      <c r="J1464">
        <f t="shared" ca="1" si="92"/>
        <v>696</v>
      </c>
      <c r="K1464">
        <f ca="1">SUM($J$2:J1464)/I1464</f>
        <v>114.25483309103538</v>
      </c>
      <c r="M1464">
        <v>1462</v>
      </c>
      <c r="N1464">
        <f t="shared" ca="1" si="93"/>
        <v>696</v>
      </c>
      <c r="O1464">
        <f ca="1">SUM($N$2:N1464)/M1464</f>
        <v>116.35307010642582</v>
      </c>
    </row>
    <row r="1465" spans="1:15" x14ac:dyDescent="0.2">
      <c r="A1465">
        <v>1463</v>
      </c>
      <c r="B1465" s="11">
        <f t="shared" ca="1" si="90"/>
        <v>696</v>
      </c>
      <c r="C1465">
        <f ca="1">SUM($B$2:B1465)/A1465</f>
        <v>114.65247161933952</v>
      </c>
      <c r="E1465">
        <v>1463</v>
      </c>
      <c r="F1465" s="11">
        <f t="shared" ca="1" si="91"/>
        <v>696</v>
      </c>
      <c r="G1465">
        <f ca="1">SUM($F$2:F1465)/E1465</f>
        <v>116.74927443307898</v>
      </c>
      <c r="I1465">
        <v>1463</v>
      </c>
      <c r="J1465">
        <f t="shared" ca="1" si="92"/>
        <v>696</v>
      </c>
      <c r="K1465">
        <f ca="1">SUM($J$2:J1465)/I1465</f>
        <v>114.65247161933952</v>
      </c>
      <c r="M1465">
        <v>1463</v>
      </c>
      <c r="N1465">
        <f t="shared" ca="1" si="93"/>
        <v>696</v>
      </c>
      <c r="O1465">
        <f ca="1">SUM($N$2:N1465)/M1465</f>
        <v>116.74927443307898</v>
      </c>
    </row>
    <row r="1466" spans="1:15" x14ac:dyDescent="0.2">
      <c r="A1466">
        <v>1464</v>
      </c>
      <c r="B1466" s="11">
        <f t="shared" ca="1" si="90"/>
        <v>696</v>
      </c>
      <c r="C1466">
        <f ca="1">SUM($B$2:B1466)/A1466</f>
        <v>115.04956692561046</v>
      </c>
      <c r="E1466">
        <v>1464</v>
      </c>
      <c r="F1466" s="11">
        <f t="shared" ca="1" si="91"/>
        <v>696</v>
      </c>
      <c r="G1466">
        <f ca="1">SUM($F$2:F1466)/E1466</f>
        <v>117.14493749699081</v>
      </c>
      <c r="I1466">
        <v>1464</v>
      </c>
      <c r="J1466">
        <f t="shared" ca="1" si="92"/>
        <v>696</v>
      </c>
      <c r="K1466">
        <f ca="1">SUM($J$2:J1466)/I1466</f>
        <v>115.04956692561046</v>
      </c>
      <c r="M1466">
        <v>1464</v>
      </c>
      <c r="N1466">
        <f t="shared" ca="1" si="93"/>
        <v>696</v>
      </c>
      <c r="O1466">
        <f ca="1">SUM($N$2:N1466)/M1466</f>
        <v>117.14493749699081</v>
      </c>
    </row>
    <row r="1467" spans="1:15" x14ac:dyDescent="0.2">
      <c r="A1467">
        <v>1465</v>
      </c>
      <c r="B1467" s="11">
        <f t="shared" ca="1" si="90"/>
        <v>696</v>
      </c>
      <c r="C1467">
        <f ca="1">SUM($B$2:B1467)/A1467</f>
        <v>115.44612012224827</v>
      </c>
      <c r="E1467">
        <v>1465</v>
      </c>
      <c r="F1467" s="11">
        <f t="shared" ca="1" si="91"/>
        <v>696</v>
      </c>
      <c r="G1467">
        <f ca="1">SUM($F$2:F1467)/E1467</f>
        <v>117.54006040654917</v>
      </c>
      <c r="I1467">
        <v>1465</v>
      </c>
      <c r="J1467">
        <f t="shared" ca="1" si="92"/>
        <v>696</v>
      </c>
      <c r="K1467">
        <f ca="1">SUM($J$2:J1467)/I1467</f>
        <v>115.44612012224827</v>
      </c>
      <c r="M1467">
        <v>1465</v>
      </c>
      <c r="N1467">
        <f t="shared" ca="1" si="93"/>
        <v>696</v>
      </c>
      <c r="O1467">
        <f ca="1">SUM($N$2:N1467)/M1467</f>
        <v>117.54006040654917</v>
      </c>
    </row>
    <row r="1468" spans="1:15" x14ac:dyDescent="0.2">
      <c r="A1468">
        <v>1466</v>
      </c>
      <c r="B1468" s="11">
        <f t="shared" ca="1" si="90"/>
        <v>696</v>
      </c>
      <c r="C1468">
        <f ca="1">SUM($B$2:B1468)/A1468</f>
        <v>115.84213231861781</v>
      </c>
      <c r="E1468">
        <v>1466</v>
      </c>
      <c r="F1468" s="11">
        <f t="shared" ca="1" si="91"/>
        <v>696</v>
      </c>
      <c r="G1468">
        <f ca="1">SUM($F$2:F1468)/E1468</f>
        <v>117.93464426711769</v>
      </c>
      <c r="I1468">
        <v>1466</v>
      </c>
      <c r="J1468">
        <f t="shared" ca="1" si="92"/>
        <v>696</v>
      </c>
      <c r="K1468">
        <f ca="1">SUM($J$2:J1468)/I1468</f>
        <v>115.84213231861781</v>
      </c>
      <c r="M1468">
        <v>1466</v>
      </c>
      <c r="N1468">
        <f t="shared" ca="1" si="93"/>
        <v>696</v>
      </c>
      <c r="O1468">
        <f ca="1">SUM($N$2:N1468)/M1468</f>
        <v>117.93464426711769</v>
      </c>
    </row>
    <row r="1469" spans="1:15" x14ac:dyDescent="0.2">
      <c r="A1469">
        <v>1467</v>
      </c>
      <c r="B1469" s="11">
        <f t="shared" ca="1" si="90"/>
        <v>696</v>
      </c>
      <c r="C1469">
        <f ca="1">SUM($B$2:B1469)/A1469</f>
        <v>116.23760462105912</v>
      </c>
      <c r="E1469">
        <v>1467</v>
      </c>
      <c r="F1469" s="11">
        <f t="shared" ca="1" si="91"/>
        <v>696</v>
      </c>
      <c r="G1469">
        <f ca="1">SUM($F$2:F1469)/E1469</f>
        <v>118.32869018104604</v>
      </c>
      <c r="I1469">
        <v>1467</v>
      </c>
      <c r="J1469">
        <f t="shared" ca="1" si="92"/>
        <v>696</v>
      </c>
      <c r="K1469">
        <f ca="1">SUM($J$2:J1469)/I1469</f>
        <v>116.23760462105912</v>
      </c>
      <c r="M1469">
        <v>1467</v>
      </c>
      <c r="N1469">
        <f t="shared" ca="1" si="93"/>
        <v>696</v>
      </c>
      <c r="O1469">
        <f ca="1">SUM($N$2:N1469)/M1469</f>
        <v>118.32869018104604</v>
      </c>
    </row>
    <row r="1470" spans="1:15" x14ac:dyDescent="0.2">
      <c r="A1470">
        <v>1468</v>
      </c>
      <c r="B1470" s="11">
        <f t="shared" ca="1" si="90"/>
        <v>696</v>
      </c>
      <c r="C1470">
        <f ca="1">SUM($B$2:B1470)/A1470</f>
        <v>116.63253813289764</v>
      </c>
      <c r="E1470">
        <v>1468</v>
      </c>
      <c r="F1470" s="11">
        <f t="shared" ca="1" si="91"/>
        <v>696</v>
      </c>
      <c r="G1470">
        <f ca="1">SUM($F$2:F1470)/E1470</f>
        <v>118.72219924768021</v>
      </c>
      <c r="I1470">
        <v>1468</v>
      </c>
      <c r="J1470">
        <f t="shared" ca="1" si="92"/>
        <v>696</v>
      </c>
      <c r="K1470">
        <f ca="1">SUM($J$2:J1470)/I1470</f>
        <v>116.63253813289764</v>
      </c>
      <c r="M1470">
        <v>1468</v>
      </c>
      <c r="N1470">
        <f t="shared" ca="1" si="93"/>
        <v>696</v>
      </c>
      <c r="O1470">
        <f ca="1">SUM($N$2:N1470)/M1470</f>
        <v>118.72219924768021</v>
      </c>
    </row>
    <row r="1471" spans="1:15" x14ac:dyDescent="0.2">
      <c r="A1471">
        <v>1469</v>
      </c>
      <c r="B1471" s="11">
        <f t="shared" ca="1" si="90"/>
        <v>696</v>
      </c>
      <c r="C1471">
        <f ca="1">SUM($B$2:B1471)/A1471</f>
        <v>117.02693395445453</v>
      </c>
      <c r="E1471">
        <v>1469</v>
      </c>
      <c r="F1471" s="11">
        <f t="shared" ca="1" si="91"/>
        <v>696</v>
      </c>
      <c r="G1471">
        <f ca="1">SUM($F$2:F1471)/E1471</f>
        <v>119.11517256337274</v>
      </c>
      <c r="I1471">
        <v>1469</v>
      </c>
      <c r="J1471">
        <f t="shared" ca="1" si="92"/>
        <v>696</v>
      </c>
      <c r="K1471">
        <f ca="1">SUM($J$2:J1471)/I1471</f>
        <v>117.02693395445453</v>
      </c>
      <c r="M1471">
        <v>1469</v>
      </c>
      <c r="N1471">
        <f t="shared" ca="1" si="93"/>
        <v>696</v>
      </c>
      <c r="O1471">
        <f ca="1">SUM($N$2:N1471)/M1471</f>
        <v>119.11517256337274</v>
      </c>
    </row>
    <row r="1472" spans="1:15" x14ac:dyDescent="0.2">
      <c r="A1472">
        <v>1470</v>
      </c>
      <c r="B1472" s="11">
        <f t="shared" ca="1" si="90"/>
        <v>696</v>
      </c>
      <c r="C1472">
        <f ca="1">SUM($B$2:B1472)/A1472</f>
        <v>117.42079318305696</v>
      </c>
      <c r="E1472">
        <v>1470</v>
      </c>
      <c r="F1472" s="11">
        <f t="shared" ca="1" si="91"/>
        <v>696</v>
      </c>
      <c r="G1472">
        <f ca="1">SUM($F$2:F1472)/E1472</f>
        <v>119.50761122149288</v>
      </c>
      <c r="I1472">
        <v>1470</v>
      </c>
      <c r="J1472">
        <f t="shared" ca="1" si="92"/>
        <v>696</v>
      </c>
      <c r="K1472">
        <f ca="1">SUM($J$2:J1472)/I1472</f>
        <v>117.42079318305696</v>
      </c>
      <c r="M1472">
        <v>1470</v>
      </c>
      <c r="N1472">
        <f t="shared" ca="1" si="93"/>
        <v>696</v>
      </c>
      <c r="O1472">
        <f ca="1">SUM($N$2:N1472)/M1472</f>
        <v>119.50761122149288</v>
      </c>
    </row>
    <row r="1473" spans="1:15" x14ac:dyDescent="0.2">
      <c r="A1473">
        <v>1471</v>
      </c>
      <c r="B1473" s="11">
        <f t="shared" si="90"/>
        <v>0</v>
      </c>
      <c r="C1473">
        <f ca="1">SUM($B$2:B1473)/A1473</f>
        <v>117.34096939435331</v>
      </c>
      <c r="E1473">
        <v>1471</v>
      </c>
      <c r="F1473" s="11">
        <f t="shared" si="91"/>
        <v>0</v>
      </c>
      <c r="G1473">
        <f ca="1">SUM($F$2:F1473)/E1473</f>
        <v>119.42636879374204</v>
      </c>
      <c r="I1473">
        <v>1471</v>
      </c>
      <c r="J1473">
        <f t="shared" si="92"/>
        <v>0</v>
      </c>
      <c r="K1473">
        <f ca="1">SUM($J$2:J1473)/I1473</f>
        <v>117.34096939435331</v>
      </c>
      <c r="M1473">
        <v>1471</v>
      </c>
      <c r="N1473">
        <f t="shared" si="93"/>
        <v>0</v>
      </c>
      <c r="O1473">
        <f ca="1">SUM($N$2:N1473)/M1473</f>
        <v>119.42636879374204</v>
      </c>
    </row>
    <row r="1474" spans="1:15" x14ac:dyDescent="0.2">
      <c r="A1474">
        <v>1472</v>
      </c>
      <c r="B1474" s="11">
        <f t="shared" si="90"/>
        <v>0</v>
      </c>
      <c r="C1474">
        <f ca="1">SUM($B$2:B1474)/A1474</f>
        <v>117.26125406188432</v>
      </c>
      <c r="E1474">
        <v>1472</v>
      </c>
      <c r="F1474" s="11">
        <f t="shared" si="91"/>
        <v>0</v>
      </c>
      <c r="G1474">
        <f ca="1">SUM($F$2:F1474)/E1474</f>
        <v>119.34523674972455</v>
      </c>
      <c r="I1474">
        <v>1472</v>
      </c>
      <c r="J1474">
        <f t="shared" si="92"/>
        <v>0</v>
      </c>
      <c r="K1474">
        <f ca="1">SUM($J$2:J1474)/I1474</f>
        <v>117.26125406188432</v>
      </c>
      <c r="M1474">
        <v>1472</v>
      </c>
      <c r="N1474">
        <f t="shared" si="93"/>
        <v>0</v>
      </c>
      <c r="O1474">
        <f ca="1">SUM($N$2:N1474)/M1474</f>
        <v>119.34523674972455</v>
      </c>
    </row>
    <row r="1475" spans="1:15" x14ac:dyDescent="0.2">
      <c r="A1475">
        <v>1473</v>
      </c>
      <c r="B1475" s="11">
        <f t="shared" ref="B1475:B1538" si="94">IF(ARCap-IF((A1475-IF(A1475/180&gt;1,ROUNDDOWN(A1475/180,0)*180,0))/30&lt;=1,IF(200*15*BaseSpeed/60*(YellowConnects+WhiteMHConnects+WhiteOHConnects+HoJConnects+WindfuryConnects+SSConnects+IronfoeConnects)*(A1475-180*ROUNDDOWN(A1475/180,0))&gt;1200,1200,200*15*BaseSpeed/60*(YellowConnects+WhiteMHConnects+WhiteOHConnects+HoJConnects+WindfuryConnects+SSConnects+IronfoeConnects)*(A1475-180*ROUNDDOWN(A1475/180,0))),0)&lt;0,ARCap,IF((A1475-IF(A1475/180&gt;1,ROUNDDOWN(A1474/180,0)*180,0))/30&lt;=1,IF(200*15*BaseSpeed/60*(YellowConnects+WhiteMHConnects+WhiteOHConnects+HoJConnects+WindfuryConnects+SSConnects+IronfoeConnects)*(A1475-180*ROUNDDOWN(A1475/180,0))&gt;1200,1200,200*15*BaseSpeed/60*(YellowConnects+WhiteMHConnects+WhiteOHConnects+HoJConnects+WindfuryConnects+SSConnects+IronfoeConnects)*(A1475-180*ROUNDDOWN(A1475/180,0))),0))</f>
        <v>0</v>
      </c>
      <c r="C1475">
        <f ca="1">SUM($B$2:B1475)/A1475</f>
        <v>117.18164696476153</v>
      </c>
      <c r="E1475">
        <v>1473</v>
      </c>
      <c r="F1475" s="11">
        <f t="shared" ref="F1475:F1538" si="95">IF(ARCap-IF((A1475-IF(A1475/180&gt;1,ROUNDDOWN(A1475/180,0)*180,0))/30&lt;=1,IF(200*15*BaseSpeed/60*(YellowConnects20+WhiteMHConnects20+WhiteOHConnects20+HoJConnects20+WindfuryConnects20+SSConnects20+IronfoeConnects20)*(A1475-180*ROUNDDOWN(A1475/180,0))&gt;1200,1200,200*15*BaseSpeed/60*(YellowConnects20+WhiteMHConnects20+WhiteOHConnects20+HoJConnects20+WindfuryConnects20+SSConnects20+IronfoeConnects20)*(A1475-180*ROUNDDOWN(A1475/180,0))),0)&lt;0,ARCap,IF((A1475-IF(A1475/180&gt;1,ROUNDDOWN(A1475/180,0)*180,0))/30&lt;=1,IF(200*15*BaseSpeed/60*(YellowConnects20+WhiteMHConnects20+WhiteOHConnects20+HoJConnects20+WindfuryConnects20+SSConnects20+IronfoeConnects20)*(A1475-180*ROUNDDOWN(A1475/180,0))&gt;1200,1200,200*15*BaseSpeed/60*(YellowConnects20+WhiteMHConnects20+WhiteOHConnects20+HoJConnects20+WindfuryConnects20+SSConnects20+IronfoeConnects20)*(A1475-180*ROUNDDOWN(A1475/180,0))),0))</f>
        <v>0</v>
      </c>
      <c r="G1475">
        <f ca="1">SUM($F$2:F1475)/E1475</f>
        <v>119.2642148646263</v>
      </c>
      <c r="I1475">
        <v>1473</v>
      </c>
      <c r="J1475">
        <f t="shared" ref="J1475:J1538" si="96">IF(ARCap-(B1475+BRE)&lt;0,ARCap,B1475+BRE)</f>
        <v>0</v>
      </c>
      <c r="K1475">
        <f ca="1">SUM($J$2:J1475)/I1475</f>
        <v>117.18164696476153</v>
      </c>
      <c r="M1475">
        <v>1473</v>
      </c>
      <c r="N1475">
        <f t="shared" ref="N1475:N1538" si="97">IF(ARCap-(F1475+BREArmorReduction20)&lt;0,ARCap,F1475+BREArmorReduction20)</f>
        <v>0</v>
      </c>
      <c r="O1475">
        <f ca="1">SUM($N$2:N1475)/M1475</f>
        <v>119.2642148646263</v>
      </c>
    </row>
    <row r="1476" spans="1:15" x14ac:dyDescent="0.2">
      <c r="A1476">
        <v>1474</v>
      </c>
      <c r="B1476" s="11">
        <f t="shared" si="94"/>
        <v>0</v>
      </c>
      <c r="C1476">
        <f ca="1">SUM($B$2:B1476)/A1476</f>
        <v>117.10214788269587</v>
      </c>
      <c r="E1476">
        <v>1474</v>
      </c>
      <c r="F1476" s="11">
        <f t="shared" si="95"/>
        <v>0</v>
      </c>
      <c r="G1476">
        <f ca="1">SUM($F$2:F1476)/E1476</f>
        <v>119.18330291424324</v>
      </c>
      <c r="I1476">
        <v>1474</v>
      </c>
      <c r="J1476">
        <f t="shared" si="96"/>
        <v>0</v>
      </c>
      <c r="K1476">
        <f ca="1">SUM($J$2:J1476)/I1476</f>
        <v>117.10214788269587</v>
      </c>
      <c r="M1476">
        <v>1474</v>
      </c>
      <c r="N1476">
        <f t="shared" si="97"/>
        <v>0</v>
      </c>
      <c r="O1476">
        <f ca="1">SUM($N$2:N1476)/M1476</f>
        <v>119.18330291424324</v>
      </c>
    </row>
    <row r="1477" spans="1:15" x14ac:dyDescent="0.2">
      <c r="A1477">
        <v>1475</v>
      </c>
      <c r="B1477" s="11">
        <f t="shared" si="94"/>
        <v>0</v>
      </c>
      <c r="C1477">
        <f ca="1">SUM($B$2:B1477)/A1477</f>
        <v>117.02275659599574</v>
      </c>
      <c r="E1477">
        <v>1475</v>
      </c>
      <c r="F1477" s="11">
        <f t="shared" si="95"/>
        <v>0</v>
      </c>
      <c r="G1477">
        <f ca="1">SUM($F$2:F1477)/E1477</f>
        <v>119.10250067497935</v>
      </c>
      <c r="I1477">
        <v>1475</v>
      </c>
      <c r="J1477">
        <f t="shared" si="96"/>
        <v>0</v>
      </c>
      <c r="K1477">
        <f ca="1">SUM($J$2:J1477)/I1477</f>
        <v>117.02275659599574</v>
      </c>
      <c r="M1477">
        <v>1475</v>
      </c>
      <c r="N1477">
        <f t="shared" si="97"/>
        <v>0</v>
      </c>
      <c r="O1477">
        <f ca="1">SUM($N$2:N1477)/M1477</f>
        <v>119.10250067497935</v>
      </c>
    </row>
    <row r="1478" spans="1:15" x14ac:dyDescent="0.2">
      <c r="A1478">
        <v>1476</v>
      </c>
      <c r="B1478" s="11">
        <f t="shared" si="94"/>
        <v>0</v>
      </c>
      <c r="C1478">
        <f ca="1">SUM($B$2:B1478)/A1478</f>
        <v>116.94347288556484</v>
      </c>
      <c r="E1478">
        <v>1476</v>
      </c>
      <c r="F1478" s="11">
        <f t="shared" si="95"/>
        <v>0</v>
      </c>
      <c r="G1478">
        <f ca="1">SUM($F$2:F1478)/E1478</f>
        <v>119.02180792384453</v>
      </c>
      <c r="I1478">
        <v>1476</v>
      </c>
      <c r="J1478">
        <f t="shared" si="96"/>
        <v>0</v>
      </c>
      <c r="K1478">
        <f ca="1">SUM($J$2:J1478)/I1478</f>
        <v>116.94347288556484</v>
      </c>
      <c r="M1478">
        <v>1476</v>
      </c>
      <c r="N1478">
        <f t="shared" si="97"/>
        <v>0</v>
      </c>
      <c r="O1478">
        <f ca="1">SUM($N$2:N1478)/M1478</f>
        <v>119.02180792384453</v>
      </c>
    </row>
    <row r="1479" spans="1:15" x14ac:dyDescent="0.2">
      <c r="A1479">
        <v>1477</v>
      </c>
      <c r="B1479" s="11">
        <f t="shared" si="94"/>
        <v>0</v>
      </c>
      <c r="C1479">
        <f ca="1">SUM($B$2:B1479)/A1479</f>
        <v>116.86429653290028</v>
      </c>
      <c r="E1479">
        <v>1477</v>
      </c>
      <c r="F1479" s="11">
        <f t="shared" si="95"/>
        <v>0</v>
      </c>
      <c r="G1479">
        <f ca="1">SUM($F$2:F1479)/E1479</f>
        <v>118.94122443845264</v>
      </c>
      <c r="I1479">
        <v>1477</v>
      </c>
      <c r="J1479">
        <f t="shared" si="96"/>
        <v>0</v>
      </c>
      <c r="K1479">
        <f ca="1">SUM($J$2:J1479)/I1479</f>
        <v>116.86429653290028</v>
      </c>
      <c r="M1479">
        <v>1477</v>
      </c>
      <c r="N1479">
        <f t="shared" si="97"/>
        <v>0</v>
      </c>
      <c r="O1479">
        <f ca="1">SUM($N$2:N1479)/M1479</f>
        <v>118.94122443845264</v>
      </c>
    </row>
    <row r="1480" spans="1:15" x14ac:dyDescent="0.2">
      <c r="A1480">
        <v>1478</v>
      </c>
      <c r="B1480" s="11">
        <f t="shared" si="94"/>
        <v>0</v>
      </c>
      <c r="C1480">
        <f ca="1">SUM($B$2:B1480)/A1480</f>
        <v>116.78522732009047</v>
      </c>
      <c r="E1480">
        <v>1478</v>
      </c>
      <c r="F1480" s="11">
        <f t="shared" si="95"/>
        <v>0</v>
      </c>
      <c r="G1480">
        <f ca="1">SUM($F$2:F1480)/E1480</f>
        <v>118.86074999701931</v>
      </c>
      <c r="I1480">
        <v>1478</v>
      </c>
      <c r="J1480">
        <f t="shared" si="96"/>
        <v>0</v>
      </c>
      <c r="K1480">
        <f ca="1">SUM($J$2:J1480)/I1480</f>
        <v>116.78522732009047</v>
      </c>
      <c r="M1480">
        <v>1478</v>
      </c>
      <c r="N1480">
        <f t="shared" si="97"/>
        <v>0</v>
      </c>
      <c r="O1480">
        <f ca="1">SUM($N$2:N1480)/M1480</f>
        <v>118.86074999701931</v>
      </c>
    </row>
    <row r="1481" spans="1:15" x14ac:dyDescent="0.2">
      <c r="A1481">
        <v>1479</v>
      </c>
      <c r="B1481" s="11">
        <f t="shared" si="94"/>
        <v>0</v>
      </c>
      <c r="C1481">
        <f ca="1">SUM($B$2:B1481)/A1481</f>
        <v>116.7062650298132</v>
      </c>
      <c r="E1481">
        <v>1479</v>
      </c>
      <c r="F1481" s="11">
        <f t="shared" si="95"/>
        <v>0</v>
      </c>
      <c r="G1481">
        <f ca="1">SUM($F$2:F1481)/E1481</f>
        <v>118.78038437836007</v>
      </c>
      <c r="I1481">
        <v>1479</v>
      </c>
      <c r="J1481">
        <f t="shared" si="96"/>
        <v>0</v>
      </c>
      <c r="K1481">
        <f ca="1">SUM($J$2:J1481)/I1481</f>
        <v>116.7062650298132</v>
      </c>
      <c r="M1481">
        <v>1479</v>
      </c>
      <c r="N1481">
        <f t="shared" si="97"/>
        <v>0</v>
      </c>
      <c r="O1481">
        <f ca="1">SUM($N$2:N1481)/M1481</f>
        <v>118.78038437836007</v>
      </c>
    </row>
    <row r="1482" spans="1:15" x14ac:dyDescent="0.2">
      <c r="A1482">
        <v>1480</v>
      </c>
      <c r="B1482" s="11">
        <f t="shared" si="94"/>
        <v>0</v>
      </c>
      <c r="C1482">
        <f ca="1">SUM($B$2:B1482)/A1482</f>
        <v>116.6274094453336</v>
      </c>
      <c r="E1482">
        <v>1480</v>
      </c>
      <c r="F1482" s="11">
        <f t="shared" si="95"/>
        <v>0</v>
      </c>
      <c r="G1482">
        <f ca="1">SUM($F$2:F1482)/E1482</f>
        <v>118.70012736188821</v>
      </c>
      <c r="I1482">
        <v>1480</v>
      </c>
      <c r="J1482">
        <f t="shared" si="96"/>
        <v>0</v>
      </c>
      <c r="K1482">
        <f ca="1">SUM($J$2:J1482)/I1482</f>
        <v>116.6274094453336</v>
      </c>
      <c r="M1482">
        <v>1480</v>
      </c>
      <c r="N1482">
        <f t="shared" si="97"/>
        <v>0</v>
      </c>
      <c r="O1482">
        <f ca="1">SUM($N$2:N1482)/M1482</f>
        <v>118.70012736188821</v>
      </c>
    </row>
    <row r="1483" spans="1:15" x14ac:dyDescent="0.2">
      <c r="A1483">
        <v>1481</v>
      </c>
      <c r="B1483" s="11">
        <f t="shared" si="94"/>
        <v>0</v>
      </c>
      <c r="C1483">
        <f ca="1">SUM($B$2:B1483)/A1483</f>
        <v>116.54866035050217</v>
      </c>
      <c r="E1483">
        <v>1481</v>
      </c>
      <c r="F1483" s="11">
        <f t="shared" si="95"/>
        <v>0</v>
      </c>
      <c r="G1483">
        <f ca="1">SUM($F$2:F1483)/E1483</f>
        <v>118.61997872761279</v>
      </c>
      <c r="I1483">
        <v>1481</v>
      </c>
      <c r="J1483">
        <f t="shared" si="96"/>
        <v>0</v>
      </c>
      <c r="K1483">
        <f ca="1">SUM($J$2:J1483)/I1483</f>
        <v>116.54866035050217</v>
      </c>
      <c r="M1483">
        <v>1481</v>
      </c>
      <c r="N1483">
        <f t="shared" si="97"/>
        <v>0</v>
      </c>
      <c r="O1483">
        <f ca="1">SUM($N$2:N1483)/M1483</f>
        <v>118.61997872761279</v>
      </c>
    </row>
    <row r="1484" spans="1:15" x14ac:dyDescent="0.2">
      <c r="A1484">
        <v>1482</v>
      </c>
      <c r="B1484" s="11">
        <f t="shared" si="94"/>
        <v>0</v>
      </c>
      <c r="C1484">
        <f ca="1">SUM($B$2:B1484)/A1484</f>
        <v>116.47001752975285</v>
      </c>
      <c r="E1484">
        <v>1482</v>
      </c>
      <c r="F1484" s="11">
        <f t="shared" si="95"/>
        <v>0</v>
      </c>
      <c r="G1484">
        <f ca="1">SUM($F$2:F1484)/E1484</f>
        <v>118.53993825613667</v>
      </c>
      <c r="I1484">
        <v>1482</v>
      </c>
      <c r="J1484">
        <f t="shared" si="96"/>
        <v>0</v>
      </c>
      <c r="K1484">
        <f ca="1">SUM($J$2:J1484)/I1484</f>
        <v>116.47001752975285</v>
      </c>
      <c r="M1484">
        <v>1482</v>
      </c>
      <c r="N1484">
        <f t="shared" si="97"/>
        <v>0</v>
      </c>
      <c r="O1484">
        <f ca="1">SUM($N$2:N1484)/M1484</f>
        <v>118.53993825613667</v>
      </c>
    </row>
    <row r="1485" spans="1:15" x14ac:dyDescent="0.2">
      <c r="A1485">
        <v>1483</v>
      </c>
      <c r="B1485" s="11">
        <f t="shared" si="94"/>
        <v>0</v>
      </c>
      <c r="C1485">
        <f ca="1">SUM($B$2:B1485)/A1485</f>
        <v>116.39148076810096</v>
      </c>
      <c r="E1485">
        <v>1483</v>
      </c>
      <c r="F1485" s="11">
        <f t="shared" si="95"/>
        <v>0</v>
      </c>
      <c r="G1485">
        <f ca="1">SUM($F$2:F1485)/E1485</f>
        <v>118.46000572865445</v>
      </c>
      <c r="I1485">
        <v>1483</v>
      </c>
      <c r="J1485">
        <f t="shared" si="96"/>
        <v>0</v>
      </c>
      <c r="K1485">
        <f ca="1">SUM($J$2:J1485)/I1485</f>
        <v>116.39148076810096</v>
      </c>
      <c r="M1485">
        <v>1483</v>
      </c>
      <c r="N1485">
        <f t="shared" si="97"/>
        <v>0</v>
      </c>
      <c r="O1485">
        <f ca="1">SUM($N$2:N1485)/M1485</f>
        <v>118.46000572865445</v>
      </c>
    </row>
    <row r="1486" spans="1:15" x14ac:dyDescent="0.2">
      <c r="A1486">
        <v>1484</v>
      </c>
      <c r="B1486" s="11">
        <f t="shared" si="94"/>
        <v>0</v>
      </c>
      <c r="C1486">
        <f ca="1">SUM($B$2:B1486)/A1486</f>
        <v>116.31304985114132</v>
      </c>
      <c r="E1486">
        <v>1484</v>
      </c>
      <c r="F1486" s="11">
        <f t="shared" si="95"/>
        <v>0</v>
      </c>
      <c r="G1486">
        <f ca="1">SUM($F$2:F1486)/E1486</f>
        <v>118.3801809269505</v>
      </c>
      <c r="I1486">
        <v>1484</v>
      </c>
      <c r="J1486">
        <f t="shared" si="96"/>
        <v>0</v>
      </c>
      <c r="K1486">
        <f ca="1">SUM($J$2:J1486)/I1486</f>
        <v>116.31304985114132</v>
      </c>
      <c r="M1486">
        <v>1484</v>
      </c>
      <c r="N1486">
        <f t="shared" si="97"/>
        <v>0</v>
      </c>
      <c r="O1486">
        <f ca="1">SUM($N$2:N1486)/M1486</f>
        <v>118.3801809269505</v>
      </c>
    </row>
    <row r="1487" spans="1:15" x14ac:dyDescent="0.2">
      <c r="A1487">
        <v>1485</v>
      </c>
      <c r="B1487" s="11">
        <f t="shared" si="94"/>
        <v>0</v>
      </c>
      <c r="C1487">
        <f ca="1">SUM($B$2:B1487)/A1487</f>
        <v>116.23472456504628</v>
      </c>
      <c r="E1487">
        <v>1485</v>
      </c>
      <c r="F1487" s="11">
        <f t="shared" si="95"/>
        <v>0</v>
      </c>
      <c r="G1487">
        <f ca="1">SUM($F$2:F1487)/E1487</f>
        <v>118.300463633397</v>
      </c>
      <c r="I1487">
        <v>1485</v>
      </c>
      <c r="J1487">
        <f t="shared" si="96"/>
        <v>0</v>
      </c>
      <c r="K1487">
        <f ca="1">SUM($J$2:J1487)/I1487</f>
        <v>116.23472456504628</v>
      </c>
      <c r="M1487">
        <v>1485</v>
      </c>
      <c r="N1487">
        <f t="shared" si="97"/>
        <v>0</v>
      </c>
      <c r="O1487">
        <f ca="1">SUM($N$2:N1487)/M1487</f>
        <v>118.300463633397</v>
      </c>
    </row>
    <row r="1488" spans="1:15" x14ac:dyDescent="0.2">
      <c r="A1488">
        <v>1486</v>
      </c>
      <c r="B1488" s="11">
        <f t="shared" si="94"/>
        <v>0</v>
      </c>
      <c r="C1488">
        <f ca="1">SUM($B$2:B1488)/A1488</f>
        <v>116.15650469656374</v>
      </c>
      <c r="E1488">
        <v>1486</v>
      </c>
      <c r="F1488" s="11">
        <f t="shared" si="95"/>
        <v>0</v>
      </c>
      <c r="G1488">
        <f ca="1">SUM($F$2:F1488)/E1488</f>
        <v>118.22085363095191</v>
      </c>
      <c r="I1488">
        <v>1486</v>
      </c>
      <c r="J1488">
        <f t="shared" si="96"/>
        <v>0</v>
      </c>
      <c r="K1488">
        <f ca="1">SUM($J$2:J1488)/I1488</f>
        <v>116.15650469656374</v>
      </c>
      <c r="M1488">
        <v>1486</v>
      </c>
      <c r="N1488">
        <f t="shared" si="97"/>
        <v>0</v>
      </c>
      <c r="O1488">
        <f ca="1">SUM($N$2:N1488)/M1488</f>
        <v>118.22085363095191</v>
      </c>
    </row>
    <row r="1489" spans="1:15" x14ac:dyDescent="0.2">
      <c r="A1489">
        <v>1487</v>
      </c>
      <c r="B1489" s="11">
        <f t="shared" si="94"/>
        <v>0</v>
      </c>
      <c r="C1489">
        <f ca="1">SUM($B$2:B1489)/A1489</f>
        <v>116.07839003301528</v>
      </c>
      <c r="E1489">
        <v>1487</v>
      </c>
      <c r="F1489" s="11">
        <f t="shared" si="95"/>
        <v>0</v>
      </c>
      <c r="G1489">
        <f ca="1">SUM($F$2:F1489)/E1489</f>
        <v>118.14135070315706</v>
      </c>
      <c r="I1489">
        <v>1487</v>
      </c>
      <c r="J1489">
        <f t="shared" si="96"/>
        <v>0</v>
      </c>
      <c r="K1489">
        <f ca="1">SUM($J$2:J1489)/I1489</f>
        <v>116.07839003301528</v>
      </c>
      <c r="M1489">
        <v>1487</v>
      </c>
      <c r="N1489">
        <f t="shared" si="97"/>
        <v>0</v>
      </c>
      <c r="O1489">
        <f ca="1">SUM($N$2:N1489)/M1489</f>
        <v>118.14135070315706</v>
      </c>
    </row>
    <row r="1490" spans="1:15" x14ac:dyDescent="0.2">
      <c r="A1490">
        <v>1488</v>
      </c>
      <c r="B1490" s="11">
        <f t="shared" si="94"/>
        <v>0</v>
      </c>
      <c r="C1490">
        <f ca="1">SUM($B$2:B1490)/A1490</f>
        <v>116.00038036229417</v>
      </c>
      <c r="E1490">
        <v>1488</v>
      </c>
      <c r="F1490" s="11">
        <f t="shared" si="95"/>
        <v>0</v>
      </c>
      <c r="G1490">
        <f ca="1">SUM($F$2:F1490)/E1490</f>
        <v>118.06195463413611</v>
      </c>
      <c r="I1490">
        <v>1488</v>
      </c>
      <c r="J1490">
        <f t="shared" si="96"/>
        <v>0</v>
      </c>
      <c r="K1490">
        <f ca="1">SUM($J$2:J1490)/I1490</f>
        <v>116.00038036229417</v>
      </c>
      <c r="M1490">
        <v>1488</v>
      </c>
      <c r="N1490">
        <f t="shared" si="97"/>
        <v>0</v>
      </c>
      <c r="O1490">
        <f ca="1">SUM($N$2:N1490)/M1490</f>
        <v>118.06195463413611</v>
      </c>
    </row>
    <row r="1491" spans="1:15" x14ac:dyDescent="0.2">
      <c r="A1491">
        <v>1489</v>
      </c>
      <c r="B1491" s="11">
        <f t="shared" si="94"/>
        <v>0</v>
      </c>
      <c r="C1491">
        <f ca="1">SUM($B$2:B1491)/A1491</f>
        <v>115.92247547286348</v>
      </c>
      <c r="E1491">
        <v>1489</v>
      </c>
      <c r="F1491" s="11">
        <f t="shared" si="95"/>
        <v>0</v>
      </c>
      <c r="G1491">
        <f ca="1">SUM($F$2:F1491)/E1491</f>
        <v>117.98266520859271</v>
      </c>
      <c r="I1491">
        <v>1489</v>
      </c>
      <c r="J1491">
        <f t="shared" si="96"/>
        <v>0</v>
      </c>
      <c r="K1491">
        <f ca="1">SUM($J$2:J1491)/I1491</f>
        <v>115.92247547286348</v>
      </c>
      <c r="M1491">
        <v>1489</v>
      </c>
      <c r="N1491">
        <f t="shared" si="97"/>
        <v>0</v>
      </c>
      <c r="O1491">
        <f ca="1">SUM($N$2:N1491)/M1491</f>
        <v>117.98266520859271</v>
      </c>
    </row>
    <row r="1492" spans="1:15" x14ac:dyDescent="0.2">
      <c r="A1492">
        <v>1490</v>
      </c>
      <c r="B1492" s="11">
        <f t="shared" si="94"/>
        <v>0</v>
      </c>
      <c r="C1492">
        <f ca="1">SUM($B$2:B1492)/A1492</f>
        <v>115.84467515375418</v>
      </c>
      <c r="E1492">
        <v>1490</v>
      </c>
      <c r="F1492" s="11">
        <f t="shared" si="95"/>
        <v>0</v>
      </c>
      <c r="G1492">
        <f ca="1">SUM($F$2:F1492)/E1492</f>
        <v>117.90348221180842</v>
      </c>
      <c r="I1492">
        <v>1490</v>
      </c>
      <c r="J1492">
        <f t="shared" si="96"/>
        <v>0</v>
      </c>
      <c r="K1492">
        <f ca="1">SUM($J$2:J1492)/I1492</f>
        <v>115.84467515375418</v>
      </c>
      <c r="M1492">
        <v>1490</v>
      </c>
      <c r="N1492">
        <f t="shared" si="97"/>
        <v>0</v>
      </c>
      <c r="O1492">
        <f ca="1">SUM($N$2:N1492)/M1492</f>
        <v>117.90348221180842</v>
      </c>
    </row>
    <row r="1493" spans="1:15" x14ac:dyDescent="0.2">
      <c r="A1493">
        <v>1491</v>
      </c>
      <c r="B1493" s="11">
        <f t="shared" si="94"/>
        <v>0</v>
      </c>
      <c r="C1493">
        <f ca="1">SUM($B$2:B1493)/A1493</f>
        <v>115.76697919456319</v>
      </c>
      <c r="E1493">
        <v>1491</v>
      </c>
      <c r="F1493" s="11">
        <f t="shared" si="95"/>
        <v>0</v>
      </c>
      <c r="G1493">
        <f ca="1">SUM($F$2:F1493)/E1493</f>
        <v>117.82440542964088</v>
      </c>
      <c r="I1493">
        <v>1491</v>
      </c>
      <c r="J1493">
        <f t="shared" si="96"/>
        <v>0</v>
      </c>
      <c r="K1493">
        <f ca="1">SUM($J$2:J1493)/I1493</f>
        <v>115.76697919456319</v>
      </c>
      <c r="M1493">
        <v>1491</v>
      </c>
      <c r="N1493">
        <f t="shared" si="97"/>
        <v>0</v>
      </c>
      <c r="O1493">
        <f ca="1">SUM($N$2:N1493)/M1493</f>
        <v>117.82440542964088</v>
      </c>
    </row>
    <row r="1494" spans="1:15" x14ac:dyDescent="0.2">
      <c r="A1494">
        <v>1492</v>
      </c>
      <c r="B1494" s="11">
        <f t="shared" si="94"/>
        <v>0</v>
      </c>
      <c r="C1494">
        <f ca="1">SUM($B$2:B1494)/A1494</f>
        <v>115.68938738545155</v>
      </c>
      <c r="E1494">
        <v>1492</v>
      </c>
      <c r="F1494" s="11">
        <f t="shared" si="95"/>
        <v>0</v>
      </c>
      <c r="G1494">
        <f ca="1">SUM($F$2:F1494)/E1494</f>
        <v>117.74543464852181</v>
      </c>
      <c r="I1494">
        <v>1492</v>
      </c>
      <c r="J1494">
        <f t="shared" si="96"/>
        <v>0</v>
      </c>
      <c r="K1494">
        <f ca="1">SUM($J$2:J1494)/I1494</f>
        <v>115.68938738545155</v>
      </c>
      <c r="M1494">
        <v>1492</v>
      </c>
      <c r="N1494">
        <f t="shared" si="97"/>
        <v>0</v>
      </c>
      <c r="O1494">
        <f ca="1">SUM($N$2:N1494)/M1494</f>
        <v>117.74543464852181</v>
      </c>
    </row>
    <row r="1495" spans="1:15" x14ac:dyDescent="0.2">
      <c r="A1495">
        <v>1493</v>
      </c>
      <c r="B1495" s="11">
        <f t="shared" si="94"/>
        <v>0</v>
      </c>
      <c r="C1495">
        <f ca="1">SUM($B$2:B1495)/A1495</f>
        <v>115.61189951714248</v>
      </c>
      <c r="E1495">
        <v>1493</v>
      </c>
      <c r="F1495" s="11">
        <f t="shared" si="95"/>
        <v>0</v>
      </c>
      <c r="G1495">
        <f ca="1">SUM($F$2:F1495)/E1495</f>
        <v>117.66656965545515</v>
      </c>
      <c r="I1495">
        <v>1493</v>
      </c>
      <c r="J1495">
        <f t="shared" si="96"/>
        <v>0</v>
      </c>
      <c r="K1495">
        <f ca="1">SUM($J$2:J1495)/I1495</f>
        <v>115.61189951714248</v>
      </c>
      <c r="M1495">
        <v>1493</v>
      </c>
      <c r="N1495">
        <f t="shared" si="97"/>
        <v>0</v>
      </c>
      <c r="O1495">
        <f ca="1">SUM($N$2:N1495)/M1495</f>
        <v>117.66656965545515</v>
      </c>
    </row>
    <row r="1496" spans="1:15" x14ac:dyDescent="0.2">
      <c r="A1496">
        <v>1494</v>
      </c>
      <c r="B1496" s="11">
        <f t="shared" si="94"/>
        <v>0</v>
      </c>
      <c r="C1496">
        <f ca="1">SUM($B$2:B1496)/A1496</f>
        <v>115.53451538091949</v>
      </c>
      <c r="E1496">
        <v>1494</v>
      </c>
      <c r="F1496" s="11">
        <f t="shared" si="95"/>
        <v>0</v>
      </c>
      <c r="G1496">
        <f ca="1">SUM($F$2:F1496)/E1496</f>
        <v>117.58781023801509</v>
      </c>
      <c r="I1496">
        <v>1494</v>
      </c>
      <c r="J1496">
        <f t="shared" si="96"/>
        <v>0</v>
      </c>
      <c r="K1496">
        <f ca="1">SUM($J$2:J1496)/I1496</f>
        <v>115.53451538091949</v>
      </c>
      <c r="M1496">
        <v>1494</v>
      </c>
      <c r="N1496">
        <f t="shared" si="97"/>
        <v>0</v>
      </c>
      <c r="O1496">
        <f ca="1">SUM($N$2:N1496)/M1496</f>
        <v>117.58781023801509</v>
      </c>
    </row>
    <row r="1497" spans="1:15" x14ac:dyDescent="0.2">
      <c r="A1497">
        <v>1495</v>
      </c>
      <c r="B1497" s="11">
        <f t="shared" si="94"/>
        <v>0</v>
      </c>
      <c r="C1497">
        <f ca="1">SUM($B$2:B1497)/A1497</f>
        <v>115.45723476862456</v>
      </c>
      <c r="E1497">
        <v>1495</v>
      </c>
      <c r="F1497" s="11">
        <f t="shared" si="95"/>
        <v>0</v>
      </c>
      <c r="G1497">
        <f ca="1">SUM($F$2:F1497)/E1497</f>
        <v>117.50915618434418</v>
      </c>
      <c r="I1497">
        <v>1495</v>
      </c>
      <c r="J1497">
        <f t="shared" si="96"/>
        <v>0</v>
      </c>
      <c r="K1497">
        <f ca="1">SUM($J$2:J1497)/I1497</f>
        <v>115.45723476862456</v>
      </c>
      <c r="M1497">
        <v>1495</v>
      </c>
      <c r="N1497">
        <f t="shared" si="97"/>
        <v>0</v>
      </c>
      <c r="O1497">
        <f ca="1">SUM($N$2:N1497)/M1497</f>
        <v>117.50915618434418</v>
      </c>
    </row>
    <row r="1498" spans="1:15" x14ac:dyDescent="0.2">
      <c r="A1498">
        <v>1496</v>
      </c>
      <c r="B1498" s="11">
        <f t="shared" si="94"/>
        <v>0</v>
      </c>
      <c r="C1498">
        <f ca="1">SUM($B$2:B1498)/A1498</f>
        <v>115.38005747265623</v>
      </c>
      <c r="E1498">
        <v>1496</v>
      </c>
      <c r="F1498" s="11">
        <f t="shared" si="95"/>
        <v>0</v>
      </c>
      <c r="G1498">
        <f ca="1">SUM($F$2:F1498)/E1498</f>
        <v>117.43060728315143</v>
      </c>
      <c r="I1498">
        <v>1496</v>
      </c>
      <c r="J1498">
        <f t="shared" si="96"/>
        <v>0</v>
      </c>
      <c r="K1498">
        <f ca="1">SUM($J$2:J1498)/I1498</f>
        <v>115.38005747265623</v>
      </c>
      <c r="M1498">
        <v>1496</v>
      </c>
      <c r="N1498">
        <f t="shared" si="97"/>
        <v>0</v>
      </c>
      <c r="O1498">
        <f ca="1">SUM($N$2:N1498)/M1498</f>
        <v>117.43060728315143</v>
      </c>
    </row>
    <row r="1499" spans="1:15" x14ac:dyDescent="0.2">
      <c r="A1499">
        <v>1497</v>
      </c>
      <c r="B1499" s="11">
        <f t="shared" si="94"/>
        <v>0</v>
      </c>
      <c r="C1499">
        <f ca="1">SUM($B$2:B1499)/A1499</f>
        <v>115.30298328596776</v>
      </c>
      <c r="E1499">
        <v>1497</v>
      </c>
      <c r="F1499" s="11">
        <f t="shared" si="95"/>
        <v>0</v>
      </c>
      <c r="G1499">
        <f ca="1">SUM($F$2:F1499)/E1499</f>
        <v>117.35216332371044</v>
      </c>
      <c r="I1499">
        <v>1497</v>
      </c>
      <c r="J1499">
        <f t="shared" si="96"/>
        <v>0</v>
      </c>
      <c r="K1499">
        <f ca="1">SUM($J$2:J1499)/I1499</f>
        <v>115.30298328596776</v>
      </c>
      <c r="M1499">
        <v>1497</v>
      </c>
      <c r="N1499">
        <f t="shared" si="97"/>
        <v>0</v>
      </c>
      <c r="O1499">
        <f ca="1">SUM($N$2:N1499)/M1499</f>
        <v>117.35216332371044</v>
      </c>
    </row>
    <row r="1500" spans="1:15" x14ac:dyDescent="0.2">
      <c r="A1500">
        <v>1498</v>
      </c>
      <c r="B1500" s="11">
        <f t="shared" si="94"/>
        <v>0</v>
      </c>
      <c r="C1500">
        <f ca="1">SUM($B$2:B1500)/A1500</f>
        <v>115.22601200206523</v>
      </c>
      <c r="E1500">
        <v>1498</v>
      </c>
      <c r="F1500" s="11">
        <f t="shared" si="95"/>
        <v>0</v>
      </c>
      <c r="G1500">
        <f ca="1">SUM($F$2:F1500)/E1500</f>
        <v>117.27382409585751</v>
      </c>
      <c r="I1500">
        <v>1498</v>
      </c>
      <c r="J1500">
        <f t="shared" si="96"/>
        <v>0</v>
      </c>
      <c r="K1500">
        <f ca="1">SUM($J$2:J1500)/I1500</f>
        <v>115.22601200206523</v>
      </c>
      <c r="M1500">
        <v>1498</v>
      </c>
      <c r="N1500">
        <f t="shared" si="97"/>
        <v>0</v>
      </c>
      <c r="O1500">
        <f ca="1">SUM($N$2:N1500)/M1500</f>
        <v>117.27382409585751</v>
      </c>
    </row>
    <row r="1501" spans="1:15" x14ac:dyDescent="0.2">
      <c r="A1501">
        <v>1499</v>
      </c>
      <c r="B1501" s="11">
        <f t="shared" si="94"/>
        <v>0</v>
      </c>
      <c r="C1501">
        <f ca="1">SUM($B$2:B1501)/A1501</f>
        <v>115.14914341500582</v>
      </c>
      <c r="E1501">
        <v>1499</v>
      </c>
      <c r="F1501" s="11">
        <f t="shared" si="95"/>
        <v>0</v>
      </c>
      <c r="G1501">
        <f ca="1">SUM($F$2:F1501)/E1501</f>
        <v>117.19558938998969</v>
      </c>
      <c r="I1501">
        <v>1499</v>
      </c>
      <c r="J1501">
        <f t="shared" si="96"/>
        <v>0</v>
      </c>
      <c r="K1501">
        <f ca="1">SUM($J$2:J1501)/I1501</f>
        <v>115.14914341500582</v>
      </c>
      <c r="M1501">
        <v>1499</v>
      </c>
      <c r="N1501">
        <f t="shared" si="97"/>
        <v>0</v>
      </c>
      <c r="O1501">
        <f ca="1">SUM($N$2:N1501)/M1501</f>
        <v>117.19558938998969</v>
      </c>
    </row>
    <row r="1502" spans="1:15" x14ac:dyDescent="0.2">
      <c r="A1502">
        <v>1500</v>
      </c>
      <c r="B1502" s="11">
        <f t="shared" si="94"/>
        <v>0</v>
      </c>
      <c r="C1502">
        <f ca="1">SUM($B$2:B1502)/A1502</f>
        <v>115.07237731939581</v>
      </c>
      <c r="E1502">
        <v>1500</v>
      </c>
      <c r="F1502" s="11">
        <f t="shared" si="95"/>
        <v>0</v>
      </c>
      <c r="G1502">
        <f ca="1">SUM($F$2:F1502)/E1502</f>
        <v>117.11745899706303</v>
      </c>
      <c r="I1502">
        <v>1500</v>
      </c>
      <c r="J1502">
        <f t="shared" si="96"/>
        <v>0</v>
      </c>
      <c r="K1502">
        <f ca="1">SUM($J$2:J1502)/I1502</f>
        <v>115.07237731939581</v>
      </c>
      <c r="M1502">
        <v>1500</v>
      </c>
      <c r="N1502">
        <f t="shared" si="97"/>
        <v>0</v>
      </c>
      <c r="O1502">
        <f ca="1">SUM($N$2:N1502)/M1502</f>
        <v>117.11745899706303</v>
      </c>
    </row>
    <row r="1503" spans="1:15" x14ac:dyDescent="0.2">
      <c r="A1503">
        <v>1501</v>
      </c>
      <c r="B1503" s="11">
        <f t="shared" si="94"/>
        <v>0</v>
      </c>
      <c r="C1503">
        <f ca="1">SUM($B$2:B1503)/A1503</f>
        <v>114.99571351038888</v>
      </c>
      <c r="E1503">
        <v>1501</v>
      </c>
      <c r="F1503" s="11">
        <f t="shared" si="95"/>
        <v>0</v>
      </c>
      <c r="G1503">
        <f ca="1">SUM($F$2:F1503)/E1503</f>
        <v>117.03943270859064</v>
      </c>
      <c r="I1503">
        <v>1501</v>
      </c>
      <c r="J1503">
        <f t="shared" si="96"/>
        <v>0</v>
      </c>
      <c r="K1503">
        <f ca="1">SUM($J$2:J1503)/I1503</f>
        <v>114.99571351038888</v>
      </c>
      <c r="M1503">
        <v>1501</v>
      </c>
      <c r="N1503">
        <f t="shared" si="97"/>
        <v>0</v>
      </c>
      <c r="O1503">
        <f ca="1">SUM($N$2:N1503)/M1503</f>
        <v>117.03943270859064</v>
      </c>
    </row>
    <row r="1504" spans="1:15" x14ac:dyDescent="0.2">
      <c r="A1504">
        <v>1502</v>
      </c>
      <c r="B1504" s="11">
        <f t="shared" si="94"/>
        <v>0</v>
      </c>
      <c r="C1504">
        <f ca="1">SUM($B$2:B1504)/A1504</f>
        <v>114.91915178368423</v>
      </c>
      <c r="E1504">
        <v>1502</v>
      </c>
      <c r="F1504" s="11">
        <f t="shared" si="95"/>
        <v>0</v>
      </c>
      <c r="G1504">
        <f ca="1">SUM($F$2:F1504)/E1504</f>
        <v>116.96151031664084</v>
      </c>
      <c r="I1504">
        <v>1502</v>
      </c>
      <c r="J1504">
        <f t="shared" si="96"/>
        <v>0</v>
      </c>
      <c r="K1504">
        <f ca="1">SUM($J$2:J1504)/I1504</f>
        <v>114.91915178368423</v>
      </c>
      <c r="M1504">
        <v>1502</v>
      </c>
      <c r="N1504">
        <f t="shared" si="97"/>
        <v>0</v>
      </c>
      <c r="O1504">
        <f ca="1">SUM($N$2:N1504)/M1504</f>
        <v>116.96151031664084</v>
      </c>
    </row>
    <row r="1505" spans="1:15" x14ac:dyDescent="0.2">
      <c r="A1505">
        <v>1503</v>
      </c>
      <c r="B1505" s="11">
        <f t="shared" si="94"/>
        <v>0</v>
      </c>
      <c r="C1505">
        <f ca="1">SUM($B$2:B1505)/A1505</f>
        <v>114.84269193552477</v>
      </c>
      <c r="E1505">
        <v>1503</v>
      </c>
      <c r="F1505" s="11">
        <f t="shared" si="95"/>
        <v>0</v>
      </c>
      <c r="G1505">
        <f ca="1">SUM($F$2:F1505)/E1505</f>
        <v>116.88369161383535</v>
      </c>
      <c r="I1505">
        <v>1503</v>
      </c>
      <c r="J1505">
        <f t="shared" si="96"/>
        <v>0</v>
      </c>
      <c r="K1505">
        <f ca="1">SUM($J$2:J1505)/I1505</f>
        <v>114.84269193552477</v>
      </c>
      <c r="M1505">
        <v>1503</v>
      </c>
      <c r="N1505">
        <f t="shared" si="97"/>
        <v>0</v>
      </c>
      <c r="O1505">
        <f ca="1">SUM($N$2:N1505)/M1505</f>
        <v>116.88369161383535</v>
      </c>
    </row>
    <row r="1506" spans="1:15" x14ac:dyDescent="0.2">
      <c r="A1506">
        <v>1504</v>
      </c>
      <c r="B1506" s="11">
        <f t="shared" si="94"/>
        <v>0</v>
      </c>
      <c r="C1506">
        <f ca="1">SUM($B$2:B1506)/A1506</f>
        <v>114.7663337626953</v>
      </c>
      <c r="E1506">
        <v>1504</v>
      </c>
      <c r="F1506" s="11">
        <f t="shared" si="95"/>
        <v>0</v>
      </c>
      <c r="G1506">
        <f ca="1">SUM($F$2:F1506)/E1506</f>
        <v>116.80597639334744</v>
      </c>
      <c r="I1506">
        <v>1504</v>
      </c>
      <c r="J1506">
        <f t="shared" si="96"/>
        <v>0</v>
      </c>
      <c r="K1506">
        <f ca="1">SUM($J$2:J1506)/I1506</f>
        <v>114.7663337626953</v>
      </c>
      <c r="M1506">
        <v>1504</v>
      </c>
      <c r="N1506">
        <f t="shared" si="97"/>
        <v>0</v>
      </c>
      <c r="O1506">
        <f ca="1">SUM($N$2:N1506)/M1506</f>
        <v>116.80597639334744</v>
      </c>
    </row>
    <row r="1507" spans="1:15" x14ac:dyDescent="0.2">
      <c r="A1507">
        <v>1505</v>
      </c>
      <c r="B1507" s="11">
        <f t="shared" si="94"/>
        <v>0</v>
      </c>
      <c r="C1507">
        <f ca="1">SUM($B$2:B1507)/A1507</f>
        <v>114.69007706252074</v>
      </c>
      <c r="E1507">
        <v>1505</v>
      </c>
      <c r="F1507" s="11">
        <f t="shared" si="95"/>
        <v>0</v>
      </c>
      <c r="G1507">
        <f ca="1">SUM($F$2:F1507)/E1507</f>
        <v>116.72836444890002</v>
      </c>
      <c r="I1507">
        <v>1505</v>
      </c>
      <c r="J1507">
        <f t="shared" si="96"/>
        <v>0</v>
      </c>
      <c r="K1507">
        <f ca="1">SUM($J$2:J1507)/I1507</f>
        <v>114.69007706252074</v>
      </c>
      <c r="M1507">
        <v>1505</v>
      </c>
      <c r="N1507">
        <f t="shared" si="97"/>
        <v>0</v>
      </c>
      <c r="O1507">
        <f ca="1">SUM($N$2:N1507)/M1507</f>
        <v>116.72836444890002</v>
      </c>
    </row>
    <row r="1508" spans="1:15" x14ac:dyDescent="0.2">
      <c r="A1508">
        <v>1506</v>
      </c>
      <c r="B1508" s="11">
        <f t="shared" si="94"/>
        <v>0</v>
      </c>
      <c r="C1508">
        <f ca="1">SUM($B$2:B1508)/A1508</f>
        <v>114.61392163286436</v>
      </c>
      <c r="E1508">
        <v>1506</v>
      </c>
      <c r="F1508" s="11">
        <f t="shared" si="95"/>
        <v>0</v>
      </c>
      <c r="G1508">
        <f ca="1">SUM($F$2:F1508)/E1508</f>
        <v>116.65085557476397</v>
      </c>
      <c r="I1508">
        <v>1506</v>
      </c>
      <c r="J1508">
        <f t="shared" si="96"/>
        <v>0</v>
      </c>
      <c r="K1508">
        <f ca="1">SUM($J$2:J1508)/I1508</f>
        <v>114.61392163286436</v>
      </c>
      <c r="M1508">
        <v>1506</v>
      </c>
      <c r="N1508">
        <f t="shared" si="97"/>
        <v>0</v>
      </c>
      <c r="O1508">
        <f ca="1">SUM($N$2:N1508)/M1508</f>
        <v>116.65085557476397</v>
      </c>
    </row>
    <row r="1509" spans="1:15" x14ac:dyDescent="0.2">
      <c r="A1509">
        <v>1507</v>
      </c>
      <c r="B1509" s="11">
        <f t="shared" si="94"/>
        <v>0</v>
      </c>
      <c r="C1509">
        <f ca="1">SUM($B$2:B1509)/A1509</f>
        <v>114.53786727212589</v>
      </c>
      <c r="E1509">
        <v>1507</v>
      </c>
      <c r="F1509" s="11">
        <f t="shared" si="95"/>
        <v>0</v>
      </c>
      <c r="G1509">
        <f ca="1">SUM($F$2:F1509)/E1509</f>
        <v>116.57344956575616</v>
      </c>
      <c r="I1509">
        <v>1507</v>
      </c>
      <c r="J1509">
        <f t="shared" si="96"/>
        <v>0</v>
      </c>
      <c r="K1509">
        <f ca="1">SUM($J$2:J1509)/I1509</f>
        <v>114.53786727212589</v>
      </c>
      <c r="M1509">
        <v>1507</v>
      </c>
      <c r="N1509">
        <f t="shared" si="97"/>
        <v>0</v>
      </c>
      <c r="O1509">
        <f ca="1">SUM($N$2:N1509)/M1509</f>
        <v>116.57344956575616</v>
      </c>
    </row>
    <row r="1510" spans="1:15" x14ac:dyDescent="0.2">
      <c r="A1510">
        <v>1508</v>
      </c>
      <c r="B1510" s="11">
        <f t="shared" si="94"/>
        <v>0</v>
      </c>
      <c r="C1510">
        <f ca="1">SUM($B$2:B1510)/A1510</f>
        <v>114.46191377923986</v>
      </c>
      <c r="E1510">
        <v>1508</v>
      </c>
      <c r="F1510" s="11">
        <f t="shared" si="95"/>
        <v>0</v>
      </c>
      <c r="G1510">
        <f ca="1">SUM($F$2:F1510)/E1510</f>
        <v>116.49614621723777</v>
      </c>
      <c r="I1510">
        <v>1508</v>
      </c>
      <c r="J1510">
        <f t="shared" si="96"/>
        <v>0</v>
      </c>
      <c r="K1510">
        <f ca="1">SUM($J$2:J1510)/I1510</f>
        <v>114.46191377923986</v>
      </c>
      <c r="M1510">
        <v>1508</v>
      </c>
      <c r="N1510">
        <f t="shared" si="97"/>
        <v>0</v>
      </c>
      <c r="O1510">
        <f ca="1">SUM($N$2:N1510)/M1510</f>
        <v>116.49614621723777</v>
      </c>
    </row>
    <row r="1511" spans="1:15" x14ac:dyDescent="0.2">
      <c r="A1511">
        <v>1509</v>
      </c>
      <c r="B1511" s="11">
        <f t="shared" si="94"/>
        <v>0</v>
      </c>
      <c r="C1511">
        <f ca="1">SUM($B$2:B1511)/A1511</f>
        <v>114.38606095367378</v>
      </c>
      <c r="E1511">
        <v>1509</v>
      </c>
      <c r="F1511" s="11">
        <f t="shared" si="95"/>
        <v>0</v>
      </c>
      <c r="G1511">
        <f ca="1">SUM($F$2:F1511)/E1511</f>
        <v>116.41894532511236</v>
      </c>
      <c r="I1511">
        <v>1509</v>
      </c>
      <c r="J1511">
        <f t="shared" si="96"/>
        <v>0</v>
      </c>
      <c r="K1511">
        <f ca="1">SUM($J$2:J1511)/I1511</f>
        <v>114.38606095367378</v>
      </c>
      <c r="M1511">
        <v>1509</v>
      </c>
      <c r="N1511">
        <f t="shared" si="97"/>
        <v>0</v>
      </c>
      <c r="O1511">
        <f ca="1">SUM($N$2:N1511)/M1511</f>
        <v>116.41894532511236</v>
      </c>
    </row>
    <row r="1512" spans="1:15" x14ac:dyDescent="0.2">
      <c r="A1512">
        <v>1510</v>
      </c>
      <c r="B1512" s="11">
        <f t="shared" si="94"/>
        <v>0</v>
      </c>
      <c r="C1512">
        <f ca="1">SUM($B$2:B1512)/A1512</f>
        <v>114.31030859542631</v>
      </c>
      <c r="E1512">
        <v>1510</v>
      </c>
      <c r="F1512" s="11">
        <f t="shared" si="95"/>
        <v>0</v>
      </c>
      <c r="G1512">
        <f ca="1">SUM($F$2:F1512)/E1512</f>
        <v>116.34184668582419</v>
      </c>
      <c r="I1512">
        <v>1510</v>
      </c>
      <c r="J1512">
        <f t="shared" si="96"/>
        <v>0</v>
      </c>
      <c r="K1512">
        <f ca="1">SUM($J$2:J1512)/I1512</f>
        <v>114.31030859542631</v>
      </c>
      <c r="M1512">
        <v>1510</v>
      </c>
      <c r="N1512">
        <f t="shared" si="97"/>
        <v>0</v>
      </c>
      <c r="O1512">
        <f ca="1">SUM($N$2:N1512)/M1512</f>
        <v>116.34184668582419</v>
      </c>
    </row>
    <row r="1513" spans="1:15" x14ac:dyDescent="0.2">
      <c r="A1513">
        <v>1511</v>
      </c>
      <c r="B1513" s="11">
        <f t="shared" si="94"/>
        <v>0</v>
      </c>
      <c r="C1513">
        <f ca="1">SUM($B$2:B1513)/A1513</f>
        <v>114.23465650502563</v>
      </c>
      <c r="E1513">
        <v>1511</v>
      </c>
      <c r="F1513" s="11">
        <f t="shared" si="95"/>
        <v>0</v>
      </c>
      <c r="G1513">
        <f ca="1">SUM($F$2:F1513)/E1513</f>
        <v>116.26485009635641</v>
      </c>
      <c r="I1513">
        <v>1511</v>
      </c>
      <c r="J1513">
        <f t="shared" si="96"/>
        <v>0</v>
      </c>
      <c r="K1513">
        <f ca="1">SUM($J$2:J1513)/I1513</f>
        <v>114.23465650502563</v>
      </c>
      <c r="M1513">
        <v>1511</v>
      </c>
      <c r="N1513">
        <f t="shared" si="97"/>
        <v>0</v>
      </c>
      <c r="O1513">
        <f ca="1">SUM($N$2:N1513)/M1513</f>
        <v>116.26485009635641</v>
      </c>
    </row>
    <row r="1514" spans="1:15" x14ac:dyDescent="0.2">
      <c r="A1514">
        <v>1512</v>
      </c>
      <c r="B1514" s="11">
        <f t="shared" si="94"/>
        <v>0</v>
      </c>
      <c r="C1514">
        <f ca="1">SUM($B$2:B1514)/A1514</f>
        <v>114.1591044835276</v>
      </c>
      <c r="E1514">
        <v>1512</v>
      </c>
      <c r="F1514" s="11">
        <f t="shared" si="95"/>
        <v>0</v>
      </c>
      <c r="G1514">
        <f ca="1">SUM($F$2:F1514)/E1514</f>
        <v>116.18795535422919</v>
      </c>
      <c r="I1514">
        <v>1512</v>
      </c>
      <c r="J1514">
        <f t="shared" si="96"/>
        <v>0</v>
      </c>
      <c r="K1514">
        <f ca="1">SUM($J$2:J1514)/I1514</f>
        <v>114.1591044835276</v>
      </c>
      <c r="M1514">
        <v>1512</v>
      </c>
      <c r="N1514">
        <f t="shared" si="97"/>
        <v>0</v>
      </c>
      <c r="O1514">
        <f ca="1">SUM($N$2:N1514)/M1514</f>
        <v>116.18795535422919</v>
      </c>
    </row>
    <row r="1515" spans="1:15" x14ac:dyDescent="0.2">
      <c r="A1515">
        <v>1513</v>
      </c>
      <c r="B1515" s="11">
        <f t="shared" si="94"/>
        <v>0</v>
      </c>
      <c r="C1515">
        <f ca="1">SUM($B$2:B1515)/A1515</f>
        <v>114.08365233251402</v>
      </c>
      <c r="E1515">
        <v>1513</v>
      </c>
      <c r="F1515" s="11">
        <f t="shared" si="95"/>
        <v>0</v>
      </c>
      <c r="G1515">
        <f ca="1">SUM($F$2:F1515)/E1515</f>
        <v>116.11116225749805</v>
      </c>
      <c r="I1515">
        <v>1513</v>
      </c>
      <c r="J1515">
        <f t="shared" si="96"/>
        <v>0</v>
      </c>
      <c r="K1515">
        <f ca="1">SUM($J$2:J1515)/I1515</f>
        <v>114.08365233251402</v>
      </c>
      <c r="M1515">
        <v>1513</v>
      </c>
      <c r="N1515">
        <f t="shared" si="97"/>
        <v>0</v>
      </c>
      <c r="O1515">
        <f ca="1">SUM($N$2:N1515)/M1515</f>
        <v>116.11116225749805</v>
      </c>
    </row>
    <row r="1516" spans="1:15" x14ac:dyDescent="0.2">
      <c r="A1516">
        <v>1514</v>
      </c>
      <c r="B1516" s="11">
        <f t="shared" si="94"/>
        <v>0</v>
      </c>
      <c r="C1516">
        <f ca="1">SUM($B$2:B1516)/A1516</f>
        <v>114.00829985409096</v>
      </c>
      <c r="E1516">
        <v>1514</v>
      </c>
      <c r="F1516" s="11">
        <f t="shared" si="95"/>
        <v>0</v>
      </c>
      <c r="G1516">
        <f ca="1">SUM($F$2:F1516)/E1516</f>
        <v>116.03447060475202</v>
      </c>
      <c r="I1516">
        <v>1514</v>
      </c>
      <c r="J1516">
        <f t="shared" si="96"/>
        <v>0</v>
      </c>
      <c r="K1516">
        <f ca="1">SUM($J$2:J1516)/I1516</f>
        <v>114.00829985409096</v>
      </c>
      <c r="M1516">
        <v>1514</v>
      </c>
      <c r="N1516">
        <f t="shared" si="97"/>
        <v>0</v>
      </c>
      <c r="O1516">
        <f ca="1">SUM($N$2:N1516)/M1516</f>
        <v>116.03447060475202</v>
      </c>
    </row>
    <row r="1517" spans="1:15" x14ac:dyDescent="0.2">
      <c r="A1517">
        <v>1515</v>
      </c>
      <c r="B1517" s="11">
        <f t="shared" si="94"/>
        <v>0</v>
      </c>
      <c r="C1517">
        <f ca="1">SUM($B$2:B1517)/A1517</f>
        <v>113.93304685088694</v>
      </c>
      <c r="E1517">
        <v>1515</v>
      </c>
      <c r="F1517" s="11">
        <f t="shared" si="95"/>
        <v>0</v>
      </c>
      <c r="G1517">
        <f ca="1">SUM($F$2:F1517)/E1517</f>
        <v>115.95788019511191</v>
      </c>
      <c r="I1517">
        <v>1515</v>
      </c>
      <c r="J1517">
        <f t="shared" si="96"/>
        <v>0</v>
      </c>
      <c r="K1517">
        <f ca="1">SUM($J$2:J1517)/I1517</f>
        <v>113.93304685088694</v>
      </c>
      <c r="M1517">
        <v>1515</v>
      </c>
      <c r="N1517">
        <f t="shared" si="97"/>
        <v>0</v>
      </c>
      <c r="O1517">
        <f ca="1">SUM($N$2:N1517)/M1517</f>
        <v>115.95788019511191</v>
      </c>
    </row>
    <row r="1518" spans="1:15" x14ac:dyDescent="0.2">
      <c r="A1518">
        <v>1516</v>
      </c>
      <c r="B1518" s="11">
        <f t="shared" si="94"/>
        <v>0</v>
      </c>
      <c r="C1518">
        <f ca="1">SUM($B$2:B1518)/A1518</f>
        <v>113.85789312605127</v>
      </c>
      <c r="E1518">
        <v>1516</v>
      </c>
      <c r="F1518" s="11">
        <f t="shared" si="95"/>
        <v>0</v>
      </c>
      <c r="G1518">
        <f ca="1">SUM($F$2:F1518)/E1518</f>
        <v>115.88139082822859</v>
      </c>
      <c r="I1518">
        <v>1516</v>
      </c>
      <c r="J1518">
        <f t="shared" si="96"/>
        <v>0</v>
      </c>
      <c r="K1518">
        <f ca="1">SUM($J$2:J1518)/I1518</f>
        <v>113.85789312605127</v>
      </c>
      <c r="M1518">
        <v>1516</v>
      </c>
      <c r="N1518">
        <f t="shared" si="97"/>
        <v>0</v>
      </c>
      <c r="O1518">
        <f ca="1">SUM($N$2:N1518)/M1518</f>
        <v>115.88139082822859</v>
      </c>
    </row>
    <row r="1519" spans="1:15" x14ac:dyDescent="0.2">
      <c r="A1519">
        <v>1517</v>
      </c>
      <c r="B1519" s="11">
        <f t="shared" si="94"/>
        <v>0</v>
      </c>
      <c r="C1519">
        <f ca="1">SUM($B$2:B1519)/A1519</f>
        <v>113.78283848325229</v>
      </c>
      <c r="E1519">
        <v>1517</v>
      </c>
      <c r="F1519" s="11">
        <f t="shared" si="95"/>
        <v>0</v>
      </c>
      <c r="G1519">
        <f ca="1">SUM($F$2:F1519)/E1519</f>
        <v>115.80500230428117</v>
      </c>
      <c r="I1519">
        <v>1517</v>
      </c>
      <c r="J1519">
        <f t="shared" si="96"/>
        <v>0</v>
      </c>
      <c r="K1519">
        <f ca="1">SUM($J$2:J1519)/I1519</f>
        <v>113.78283848325229</v>
      </c>
      <c r="M1519">
        <v>1517</v>
      </c>
      <c r="N1519">
        <f t="shared" si="97"/>
        <v>0</v>
      </c>
      <c r="O1519">
        <f ca="1">SUM($N$2:N1519)/M1519</f>
        <v>115.80500230428117</v>
      </c>
    </row>
    <row r="1520" spans="1:15" x14ac:dyDescent="0.2">
      <c r="A1520">
        <v>1518</v>
      </c>
      <c r="B1520" s="11">
        <f t="shared" si="94"/>
        <v>0</v>
      </c>
      <c r="C1520">
        <f ca="1">SUM($B$2:B1520)/A1520</f>
        <v>113.70788272667571</v>
      </c>
      <c r="E1520">
        <v>1518</v>
      </c>
      <c r="F1520" s="11">
        <f t="shared" si="95"/>
        <v>0</v>
      </c>
      <c r="G1520">
        <f ca="1">SUM($F$2:F1520)/E1520</f>
        <v>115.72871442397532</v>
      </c>
      <c r="I1520">
        <v>1518</v>
      </c>
      <c r="J1520">
        <f t="shared" si="96"/>
        <v>0</v>
      </c>
      <c r="K1520">
        <f ca="1">SUM($J$2:J1520)/I1520</f>
        <v>113.70788272667571</v>
      </c>
      <c r="M1520">
        <v>1518</v>
      </c>
      <c r="N1520">
        <f t="shared" si="97"/>
        <v>0</v>
      </c>
      <c r="O1520">
        <f ca="1">SUM($N$2:N1520)/M1520</f>
        <v>115.72871442397532</v>
      </c>
    </row>
    <row r="1521" spans="1:15" x14ac:dyDescent="0.2">
      <c r="A1521">
        <v>1519</v>
      </c>
      <c r="B1521" s="11">
        <f t="shared" si="94"/>
        <v>0</v>
      </c>
      <c r="C1521">
        <f ca="1">SUM($B$2:B1521)/A1521</f>
        <v>113.63302566102286</v>
      </c>
      <c r="E1521">
        <v>1519</v>
      </c>
      <c r="F1521" s="11">
        <f t="shared" si="95"/>
        <v>0</v>
      </c>
      <c r="G1521">
        <f ca="1">SUM($F$2:F1521)/E1521</f>
        <v>115.6525269885415</v>
      </c>
      <c r="I1521">
        <v>1519</v>
      </c>
      <c r="J1521">
        <f t="shared" si="96"/>
        <v>0</v>
      </c>
      <c r="K1521">
        <f ca="1">SUM($J$2:J1521)/I1521</f>
        <v>113.63302566102286</v>
      </c>
      <c r="M1521">
        <v>1519</v>
      </c>
      <c r="N1521">
        <f t="shared" si="97"/>
        <v>0</v>
      </c>
      <c r="O1521">
        <f ca="1">SUM($N$2:N1521)/M1521</f>
        <v>115.6525269885415</v>
      </c>
    </row>
    <row r="1522" spans="1:15" x14ac:dyDescent="0.2">
      <c r="A1522">
        <v>1520</v>
      </c>
      <c r="B1522" s="11">
        <f t="shared" si="94"/>
        <v>0</v>
      </c>
      <c r="C1522">
        <f ca="1">SUM($B$2:B1522)/A1522</f>
        <v>113.55826709150902</v>
      </c>
      <c r="E1522">
        <v>1520</v>
      </c>
      <c r="F1522" s="11">
        <f t="shared" si="95"/>
        <v>0</v>
      </c>
      <c r="G1522">
        <f ca="1">SUM($F$2:F1522)/E1522</f>
        <v>115.57643979973325</v>
      </c>
      <c r="I1522">
        <v>1520</v>
      </c>
      <c r="J1522">
        <f t="shared" si="96"/>
        <v>0</v>
      </c>
      <c r="K1522">
        <f ca="1">SUM($J$2:J1522)/I1522</f>
        <v>113.55826709150902</v>
      </c>
      <c r="M1522">
        <v>1520</v>
      </c>
      <c r="N1522">
        <f t="shared" si="97"/>
        <v>0</v>
      </c>
      <c r="O1522">
        <f ca="1">SUM($N$2:N1522)/M1522</f>
        <v>115.57643979973325</v>
      </c>
    </row>
    <row r="1523" spans="1:15" x14ac:dyDescent="0.2">
      <c r="A1523">
        <v>1521</v>
      </c>
      <c r="B1523" s="11">
        <f t="shared" si="94"/>
        <v>0</v>
      </c>
      <c r="C1523">
        <f ca="1">SUM($B$2:B1523)/A1523</f>
        <v>113.48360682386175</v>
      </c>
      <c r="E1523">
        <v>1521</v>
      </c>
      <c r="F1523" s="11">
        <f t="shared" si="95"/>
        <v>0</v>
      </c>
      <c r="G1523">
        <f ca="1">SUM($F$2:F1523)/E1523</f>
        <v>115.50045265982547</v>
      </c>
      <c r="I1523">
        <v>1521</v>
      </c>
      <c r="J1523">
        <f t="shared" si="96"/>
        <v>0</v>
      </c>
      <c r="K1523">
        <f ca="1">SUM($J$2:J1523)/I1523</f>
        <v>113.48360682386175</v>
      </c>
      <c r="M1523">
        <v>1521</v>
      </c>
      <c r="N1523">
        <f t="shared" si="97"/>
        <v>0</v>
      </c>
      <c r="O1523">
        <f ca="1">SUM($N$2:N1523)/M1523</f>
        <v>115.50045265982547</v>
      </c>
    </row>
    <row r="1524" spans="1:15" x14ac:dyDescent="0.2">
      <c r="A1524">
        <v>1522</v>
      </c>
      <c r="B1524" s="11">
        <f t="shared" si="94"/>
        <v>0</v>
      </c>
      <c r="C1524">
        <f ca="1">SUM($B$2:B1524)/A1524</f>
        <v>113.40904466431914</v>
      </c>
      <c r="E1524">
        <v>1522</v>
      </c>
      <c r="F1524" s="11">
        <f t="shared" si="95"/>
        <v>0</v>
      </c>
      <c r="G1524">
        <f ca="1">SUM($F$2:F1524)/E1524</f>
        <v>115.42456537161272</v>
      </c>
      <c r="I1524">
        <v>1522</v>
      </c>
      <c r="J1524">
        <f t="shared" si="96"/>
        <v>0</v>
      </c>
      <c r="K1524">
        <f ca="1">SUM($J$2:J1524)/I1524</f>
        <v>113.40904466431914</v>
      </c>
      <c r="M1524">
        <v>1522</v>
      </c>
      <c r="N1524">
        <f t="shared" si="97"/>
        <v>0</v>
      </c>
      <c r="O1524">
        <f ca="1">SUM($N$2:N1524)/M1524</f>
        <v>115.42456537161272</v>
      </c>
    </row>
    <row r="1525" spans="1:15" x14ac:dyDescent="0.2">
      <c r="A1525">
        <v>1523</v>
      </c>
      <c r="B1525" s="11">
        <f t="shared" si="94"/>
        <v>0</v>
      </c>
      <c r="C1525">
        <f ca="1">SUM($B$2:B1525)/A1525</f>
        <v>113.33458041962818</v>
      </c>
      <c r="E1525">
        <v>1523</v>
      </c>
      <c r="F1525" s="11">
        <f t="shared" si="95"/>
        <v>0</v>
      </c>
      <c r="G1525">
        <f ca="1">SUM($F$2:F1525)/E1525</f>
        <v>115.34877773840745</v>
      </c>
      <c r="I1525">
        <v>1523</v>
      </c>
      <c r="J1525">
        <f t="shared" si="96"/>
        <v>0</v>
      </c>
      <c r="K1525">
        <f ca="1">SUM($J$2:J1525)/I1525</f>
        <v>113.33458041962818</v>
      </c>
      <c r="M1525">
        <v>1523</v>
      </c>
      <c r="N1525">
        <f t="shared" si="97"/>
        <v>0</v>
      </c>
      <c r="O1525">
        <f ca="1">SUM($N$2:N1525)/M1525</f>
        <v>115.34877773840745</v>
      </c>
    </row>
    <row r="1526" spans="1:15" x14ac:dyDescent="0.2">
      <c r="A1526">
        <v>1524</v>
      </c>
      <c r="B1526" s="11">
        <f t="shared" si="94"/>
        <v>0</v>
      </c>
      <c r="C1526">
        <f ca="1">SUM($B$2:B1526)/A1526</f>
        <v>113.26021389704313</v>
      </c>
      <c r="E1526">
        <v>1524</v>
      </c>
      <c r="F1526" s="11">
        <f t="shared" si="95"/>
        <v>0</v>
      </c>
      <c r="G1526">
        <f ca="1">SUM($F$2:F1526)/E1526</f>
        <v>115.27308956403841</v>
      </c>
      <c r="I1526">
        <v>1524</v>
      </c>
      <c r="J1526">
        <f t="shared" si="96"/>
        <v>0</v>
      </c>
      <c r="K1526">
        <f ca="1">SUM($J$2:J1526)/I1526</f>
        <v>113.26021389704313</v>
      </c>
      <c r="M1526">
        <v>1524</v>
      </c>
      <c r="N1526">
        <f t="shared" si="97"/>
        <v>0</v>
      </c>
      <c r="O1526">
        <f ca="1">SUM($N$2:N1526)/M1526</f>
        <v>115.27308956403841</v>
      </c>
    </row>
    <row r="1527" spans="1:15" x14ac:dyDescent="0.2">
      <c r="A1527">
        <v>1525</v>
      </c>
      <c r="B1527" s="11">
        <f t="shared" si="94"/>
        <v>0</v>
      </c>
      <c r="C1527">
        <f ca="1">SUM($B$2:B1527)/A1527</f>
        <v>113.18594490432375</v>
      </c>
      <c r="E1527">
        <v>1525</v>
      </c>
      <c r="F1527" s="11">
        <f t="shared" si="95"/>
        <v>0</v>
      </c>
      <c r="G1527">
        <f ca="1">SUM($F$2:F1527)/E1527</f>
        <v>115.19750065284887</v>
      </c>
      <c r="I1527">
        <v>1525</v>
      </c>
      <c r="J1527">
        <f t="shared" si="96"/>
        <v>0</v>
      </c>
      <c r="K1527">
        <f ca="1">SUM($J$2:J1527)/I1527</f>
        <v>113.18594490432375</v>
      </c>
      <c r="M1527">
        <v>1525</v>
      </c>
      <c r="N1527">
        <f t="shared" si="97"/>
        <v>0</v>
      </c>
      <c r="O1527">
        <f ca="1">SUM($N$2:N1527)/M1527</f>
        <v>115.19750065284887</v>
      </c>
    </row>
    <row r="1528" spans="1:15" x14ac:dyDescent="0.2">
      <c r="A1528">
        <v>1526</v>
      </c>
      <c r="B1528" s="11">
        <f t="shared" si="94"/>
        <v>0</v>
      </c>
      <c r="C1528">
        <f ca="1">SUM($B$2:B1528)/A1528</f>
        <v>113.11177324973376</v>
      </c>
      <c r="E1528">
        <v>1526</v>
      </c>
      <c r="F1528" s="11">
        <f t="shared" si="95"/>
        <v>0</v>
      </c>
      <c r="G1528">
        <f ca="1">SUM($F$2:F1528)/E1528</f>
        <v>115.12201080969498</v>
      </c>
      <c r="I1528">
        <v>1526</v>
      </c>
      <c r="J1528">
        <f t="shared" si="96"/>
        <v>0</v>
      </c>
      <c r="K1528">
        <f ca="1">SUM($J$2:J1528)/I1528</f>
        <v>113.11177324973376</v>
      </c>
      <c r="M1528">
        <v>1526</v>
      </c>
      <c r="N1528">
        <f t="shared" si="97"/>
        <v>0</v>
      </c>
      <c r="O1528">
        <f ca="1">SUM($N$2:N1528)/M1528</f>
        <v>115.12201080969498</v>
      </c>
    </row>
    <row r="1529" spans="1:15" x14ac:dyDescent="0.2">
      <c r="A1529">
        <v>1527</v>
      </c>
      <c r="B1529" s="11">
        <f t="shared" si="94"/>
        <v>0</v>
      </c>
      <c r="C1529">
        <f ca="1">SUM($B$2:B1529)/A1529</f>
        <v>113.03769874203911</v>
      </c>
      <c r="E1529">
        <v>1527</v>
      </c>
      <c r="F1529" s="11">
        <f t="shared" si="95"/>
        <v>0</v>
      </c>
      <c r="G1529">
        <f ca="1">SUM($F$2:F1529)/E1529</f>
        <v>115.04661983994403</v>
      </c>
      <c r="I1529">
        <v>1527</v>
      </c>
      <c r="J1529">
        <f t="shared" si="96"/>
        <v>0</v>
      </c>
      <c r="K1529">
        <f ca="1">SUM($J$2:J1529)/I1529</f>
        <v>113.03769874203911</v>
      </c>
      <c r="M1529">
        <v>1527</v>
      </c>
      <c r="N1529">
        <f t="shared" si="97"/>
        <v>0</v>
      </c>
      <c r="O1529">
        <f ca="1">SUM($N$2:N1529)/M1529</f>
        <v>115.04661983994403</v>
      </c>
    </row>
    <row r="1530" spans="1:15" x14ac:dyDescent="0.2">
      <c r="A1530">
        <v>1528</v>
      </c>
      <c r="B1530" s="11">
        <f t="shared" si="94"/>
        <v>0</v>
      </c>
      <c r="C1530">
        <f ca="1">SUM($B$2:B1530)/A1530</f>
        <v>112.96372119050636</v>
      </c>
      <c r="E1530">
        <v>1528</v>
      </c>
      <c r="F1530" s="11">
        <f t="shared" si="95"/>
        <v>0</v>
      </c>
      <c r="G1530">
        <f ca="1">SUM($F$2:F1530)/E1530</f>
        <v>114.97132754947287</v>
      </c>
      <c r="I1530">
        <v>1528</v>
      </c>
      <c r="J1530">
        <f t="shared" si="96"/>
        <v>0</v>
      </c>
      <c r="K1530">
        <f ca="1">SUM($J$2:J1530)/I1530</f>
        <v>112.96372119050636</v>
      </c>
      <c r="M1530">
        <v>1528</v>
      </c>
      <c r="N1530">
        <f t="shared" si="97"/>
        <v>0</v>
      </c>
      <c r="O1530">
        <f ca="1">SUM($N$2:N1530)/M1530</f>
        <v>114.97132754947287</v>
      </c>
    </row>
    <row r="1531" spans="1:15" x14ac:dyDescent="0.2">
      <c r="A1531">
        <v>1529</v>
      </c>
      <c r="B1531" s="11">
        <f t="shared" si="94"/>
        <v>0</v>
      </c>
      <c r="C1531">
        <f ca="1">SUM($B$2:B1531)/A1531</f>
        <v>112.88984040490107</v>
      </c>
      <c r="E1531">
        <v>1529</v>
      </c>
      <c r="F1531" s="11">
        <f t="shared" si="95"/>
        <v>0</v>
      </c>
      <c r="G1531">
        <f ca="1">SUM($F$2:F1531)/E1531</f>
        <v>114.89613374466614</v>
      </c>
      <c r="I1531">
        <v>1529</v>
      </c>
      <c r="J1531">
        <f t="shared" si="96"/>
        <v>0</v>
      </c>
      <c r="K1531">
        <f ca="1">SUM($J$2:J1531)/I1531</f>
        <v>112.88984040490107</v>
      </c>
      <c r="M1531">
        <v>1529</v>
      </c>
      <c r="N1531">
        <f t="shared" si="97"/>
        <v>0</v>
      </c>
      <c r="O1531">
        <f ca="1">SUM($N$2:N1531)/M1531</f>
        <v>114.89613374466614</v>
      </c>
    </row>
    <row r="1532" spans="1:15" x14ac:dyDescent="0.2">
      <c r="A1532">
        <v>1530</v>
      </c>
      <c r="B1532" s="11">
        <f t="shared" si="94"/>
        <v>0</v>
      </c>
      <c r="C1532">
        <f ca="1">SUM($B$2:B1532)/A1532</f>
        <v>112.8160561954861</v>
      </c>
      <c r="E1532">
        <v>1530</v>
      </c>
      <c r="F1532" s="11">
        <f t="shared" si="95"/>
        <v>0</v>
      </c>
      <c r="G1532">
        <f ca="1">SUM($F$2:F1532)/E1532</f>
        <v>114.82103823241474</v>
      </c>
      <c r="I1532">
        <v>1530</v>
      </c>
      <c r="J1532">
        <f t="shared" si="96"/>
        <v>0</v>
      </c>
      <c r="K1532">
        <f ca="1">SUM($J$2:J1532)/I1532</f>
        <v>112.8160561954861</v>
      </c>
      <c r="M1532">
        <v>1530</v>
      </c>
      <c r="N1532">
        <f t="shared" si="97"/>
        <v>0</v>
      </c>
      <c r="O1532">
        <f ca="1">SUM($N$2:N1532)/M1532</f>
        <v>114.82103823241474</v>
      </c>
    </row>
    <row r="1533" spans="1:15" x14ac:dyDescent="0.2">
      <c r="A1533">
        <v>1531</v>
      </c>
      <c r="B1533" s="11">
        <f t="shared" si="94"/>
        <v>0</v>
      </c>
      <c r="C1533">
        <f ca="1">SUM($B$2:B1533)/A1533</f>
        <v>112.74236837302007</v>
      </c>
      <c r="E1533">
        <v>1531</v>
      </c>
      <c r="F1533" s="11">
        <f t="shared" si="95"/>
        <v>0</v>
      </c>
      <c r="G1533">
        <f ca="1">SUM($F$2:F1533)/E1533</f>
        <v>114.746040820114</v>
      </c>
      <c r="I1533">
        <v>1531</v>
      </c>
      <c r="J1533">
        <f t="shared" si="96"/>
        <v>0</v>
      </c>
      <c r="K1533">
        <f ca="1">SUM($J$2:J1533)/I1533</f>
        <v>112.74236837302007</v>
      </c>
      <c r="M1533">
        <v>1531</v>
      </c>
      <c r="N1533">
        <f t="shared" si="97"/>
        <v>0</v>
      </c>
      <c r="O1533">
        <f ca="1">SUM($N$2:N1533)/M1533</f>
        <v>114.746040820114</v>
      </c>
    </row>
    <row r="1534" spans="1:15" x14ac:dyDescent="0.2">
      <c r="A1534">
        <v>1532</v>
      </c>
      <c r="B1534" s="11">
        <f t="shared" si="94"/>
        <v>0</v>
      </c>
      <c r="C1534">
        <f ca="1">SUM($B$2:B1534)/A1534</f>
        <v>112.66877674875569</v>
      </c>
      <c r="E1534">
        <v>1532</v>
      </c>
      <c r="F1534" s="11">
        <f t="shared" si="95"/>
        <v>0</v>
      </c>
      <c r="G1534">
        <f ca="1">SUM($F$2:F1534)/E1534</f>
        <v>114.67114131566224</v>
      </c>
      <c r="I1534">
        <v>1532</v>
      </c>
      <c r="J1534">
        <f t="shared" si="96"/>
        <v>0</v>
      </c>
      <c r="K1534">
        <f ca="1">SUM($J$2:J1534)/I1534</f>
        <v>112.66877674875569</v>
      </c>
      <c r="M1534">
        <v>1532</v>
      </c>
      <c r="N1534">
        <f t="shared" si="97"/>
        <v>0</v>
      </c>
      <c r="O1534">
        <f ca="1">SUM($N$2:N1534)/M1534</f>
        <v>114.67114131566224</v>
      </c>
    </row>
    <row r="1535" spans="1:15" x14ac:dyDescent="0.2">
      <c r="A1535">
        <v>1533</v>
      </c>
      <c r="B1535" s="11">
        <f t="shared" si="94"/>
        <v>0</v>
      </c>
      <c r="C1535">
        <f ca="1">SUM($B$2:B1535)/A1535</f>
        <v>112.59528113443817</v>
      </c>
      <c r="E1535">
        <v>1533</v>
      </c>
      <c r="F1535" s="11">
        <f t="shared" si="95"/>
        <v>0</v>
      </c>
      <c r="G1535">
        <f ca="1">SUM($F$2:F1535)/E1535</f>
        <v>114.59633952745894</v>
      </c>
      <c r="I1535">
        <v>1533</v>
      </c>
      <c r="J1535">
        <f t="shared" si="96"/>
        <v>0</v>
      </c>
      <c r="K1535">
        <f ca="1">SUM($J$2:J1535)/I1535</f>
        <v>112.59528113443817</v>
      </c>
      <c r="M1535">
        <v>1533</v>
      </c>
      <c r="N1535">
        <f t="shared" si="97"/>
        <v>0</v>
      </c>
      <c r="O1535">
        <f ca="1">SUM($N$2:N1535)/M1535</f>
        <v>114.59633952745894</v>
      </c>
    </row>
    <row r="1536" spans="1:15" x14ac:dyDescent="0.2">
      <c r="A1536">
        <v>1534</v>
      </c>
      <c r="B1536" s="11">
        <f t="shared" si="94"/>
        <v>0</v>
      </c>
      <c r="C1536">
        <f ca="1">SUM($B$2:B1536)/A1536</f>
        <v>112.5218813423036</v>
      </c>
      <c r="E1536">
        <v>1534</v>
      </c>
      <c r="F1536" s="11">
        <f t="shared" si="95"/>
        <v>0</v>
      </c>
      <c r="G1536">
        <f ca="1">SUM($F$2:F1536)/E1536</f>
        <v>114.52163526440322</v>
      </c>
      <c r="I1536">
        <v>1534</v>
      </c>
      <c r="J1536">
        <f t="shared" si="96"/>
        <v>0</v>
      </c>
      <c r="K1536">
        <f ca="1">SUM($J$2:J1536)/I1536</f>
        <v>112.5218813423036</v>
      </c>
      <c r="M1536">
        <v>1534</v>
      </c>
      <c r="N1536">
        <f t="shared" si="97"/>
        <v>0</v>
      </c>
      <c r="O1536">
        <f ca="1">SUM($N$2:N1536)/M1536</f>
        <v>114.52163526440322</v>
      </c>
    </row>
    <row r="1537" spans="1:15" x14ac:dyDescent="0.2">
      <c r="A1537">
        <v>1535</v>
      </c>
      <c r="B1537" s="11">
        <f t="shared" si="94"/>
        <v>0</v>
      </c>
      <c r="C1537">
        <f ca="1">SUM($B$2:B1537)/A1537</f>
        <v>112.44857718507734</v>
      </c>
      <c r="E1537">
        <v>1535</v>
      </c>
      <c r="F1537" s="11">
        <f t="shared" si="95"/>
        <v>0</v>
      </c>
      <c r="G1537">
        <f ca="1">SUM($F$2:F1537)/E1537</f>
        <v>114.44702833589221</v>
      </c>
      <c r="I1537">
        <v>1535</v>
      </c>
      <c r="J1537">
        <f t="shared" si="96"/>
        <v>0</v>
      </c>
      <c r="K1537">
        <f ca="1">SUM($J$2:J1537)/I1537</f>
        <v>112.44857718507734</v>
      </c>
      <c r="M1537">
        <v>1535</v>
      </c>
      <c r="N1537">
        <f t="shared" si="97"/>
        <v>0</v>
      </c>
      <c r="O1537">
        <f ca="1">SUM($N$2:N1537)/M1537</f>
        <v>114.44702833589221</v>
      </c>
    </row>
    <row r="1538" spans="1:15" x14ac:dyDescent="0.2">
      <c r="A1538">
        <v>1536</v>
      </c>
      <c r="B1538" s="11">
        <f t="shared" si="94"/>
        <v>0</v>
      </c>
      <c r="C1538">
        <f ca="1">SUM($B$2:B1538)/A1538</f>
        <v>112.37536847597248</v>
      </c>
      <c r="E1538">
        <v>1536</v>
      </c>
      <c r="F1538" s="11">
        <f t="shared" si="95"/>
        <v>0</v>
      </c>
      <c r="G1538">
        <f ca="1">SUM($F$2:F1538)/E1538</f>
        <v>114.37251855181937</v>
      </c>
      <c r="I1538">
        <v>1536</v>
      </c>
      <c r="J1538">
        <f t="shared" si="96"/>
        <v>0</v>
      </c>
      <c r="K1538">
        <f ca="1">SUM($J$2:J1538)/I1538</f>
        <v>112.37536847597248</v>
      </c>
      <c r="M1538">
        <v>1536</v>
      </c>
      <c r="N1538">
        <f t="shared" si="97"/>
        <v>0</v>
      </c>
      <c r="O1538">
        <f ca="1">SUM($N$2:N1538)/M1538</f>
        <v>114.37251855181937</v>
      </c>
    </row>
    <row r="1539" spans="1:15" x14ac:dyDescent="0.2">
      <c r="A1539">
        <v>1537</v>
      </c>
      <c r="B1539" s="11">
        <f t="shared" ref="B1539:B1602" si="98">IF(ARCap-IF((A1539-IF(A1539/180&gt;1,ROUNDDOWN(A1539/180,0)*180,0))/30&lt;=1,IF(200*15*BaseSpeed/60*(YellowConnects+WhiteMHConnects+WhiteOHConnects+HoJConnects+WindfuryConnects+SSConnects+IronfoeConnects)*(A1539-180*ROUNDDOWN(A1539/180,0))&gt;1200,1200,200*15*BaseSpeed/60*(YellowConnects+WhiteMHConnects+WhiteOHConnects+HoJConnects+WindfuryConnects+SSConnects+IronfoeConnects)*(A1539-180*ROUNDDOWN(A1539/180,0))),0)&lt;0,ARCap,IF((A1539-IF(A1539/180&gt;1,ROUNDDOWN(A1538/180,0)*180,0))/30&lt;=1,IF(200*15*BaseSpeed/60*(YellowConnects+WhiteMHConnects+WhiteOHConnects+HoJConnects+WindfuryConnects+SSConnects+IronfoeConnects)*(A1539-180*ROUNDDOWN(A1539/180,0))&gt;1200,1200,200*15*BaseSpeed/60*(YellowConnects+WhiteMHConnects+WhiteOHConnects+HoJConnects+WindfuryConnects+SSConnects+IronfoeConnects)*(A1539-180*ROUNDDOWN(A1539/180,0))),0))</f>
        <v>0</v>
      </c>
      <c r="C1539">
        <f ca="1">SUM($B$2:B1539)/A1539</f>
        <v>112.30225502868817</v>
      </c>
      <c r="E1539">
        <v>1537</v>
      </c>
      <c r="F1539" s="11">
        <f t="shared" ref="F1539:F1602" si="99">IF(ARCap-IF((A1539-IF(A1539/180&gt;1,ROUNDDOWN(A1539/180,0)*180,0))/30&lt;=1,IF(200*15*BaseSpeed/60*(YellowConnects20+WhiteMHConnects20+WhiteOHConnects20+HoJConnects20+WindfuryConnects20+SSConnects20+IronfoeConnects20)*(A1539-180*ROUNDDOWN(A1539/180,0))&gt;1200,1200,200*15*BaseSpeed/60*(YellowConnects20+WhiteMHConnects20+WhiteOHConnects20+HoJConnects20+WindfuryConnects20+SSConnects20+IronfoeConnects20)*(A1539-180*ROUNDDOWN(A1539/180,0))),0)&lt;0,ARCap,IF((A1539-IF(A1539/180&gt;1,ROUNDDOWN(A1539/180,0)*180,0))/30&lt;=1,IF(200*15*BaseSpeed/60*(YellowConnects20+WhiteMHConnects20+WhiteOHConnects20+HoJConnects20+WindfuryConnects20+SSConnects20+IronfoeConnects20)*(A1539-180*ROUNDDOWN(A1539/180,0))&gt;1200,1200,200*15*BaseSpeed/60*(YellowConnects20+WhiteMHConnects20+WhiteOHConnects20+HoJConnects20+WindfuryConnects20+SSConnects20+IronfoeConnects20)*(A1539-180*ROUNDDOWN(A1539/180,0))),0))</f>
        <v>0</v>
      </c>
      <c r="G1539">
        <f ca="1">SUM($F$2:F1539)/E1539</f>
        <v>114.2981057225729</v>
      </c>
      <c r="I1539">
        <v>1537</v>
      </c>
      <c r="J1539">
        <f t="shared" ref="J1539:J1602" si="100">IF(ARCap-(B1539+BRE)&lt;0,ARCap,B1539+BRE)</f>
        <v>0</v>
      </c>
      <c r="K1539">
        <f ca="1">SUM($J$2:J1539)/I1539</f>
        <v>112.30225502868817</v>
      </c>
      <c r="M1539">
        <v>1537</v>
      </c>
      <c r="N1539">
        <f t="shared" ref="N1539:N1602" si="101">IF(ARCap-(F1539+BREArmorReduction20)&lt;0,ARCap,F1539+BREArmorReduction20)</f>
        <v>0</v>
      </c>
      <c r="O1539">
        <f ca="1">SUM($N$2:N1539)/M1539</f>
        <v>114.2981057225729</v>
      </c>
    </row>
    <row r="1540" spans="1:15" x14ac:dyDescent="0.2">
      <c r="A1540">
        <v>1538</v>
      </c>
      <c r="B1540" s="11">
        <f t="shared" si="98"/>
        <v>0</v>
      </c>
      <c r="C1540">
        <f ca="1">SUM($B$2:B1540)/A1540</f>
        <v>112.22923665740814</v>
      </c>
      <c r="E1540">
        <v>1538</v>
      </c>
      <c r="F1540" s="11">
        <f t="shared" si="99"/>
        <v>0</v>
      </c>
      <c r="G1540">
        <f ca="1">SUM($F$2:F1540)/E1540</f>
        <v>114.22378965903417</v>
      </c>
      <c r="I1540">
        <v>1538</v>
      </c>
      <c r="J1540">
        <f t="shared" si="100"/>
        <v>0</v>
      </c>
      <c r="K1540">
        <f ca="1">SUM($J$2:J1540)/I1540</f>
        <v>112.22923665740814</v>
      </c>
      <c r="M1540">
        <v>1538</v>
      </c>
      <c r="N1540">
        <f t="shared" si="101"/>
        <v>0</v>
      </c>
      <c r="O1540">
        <f ca="1">SUM($N$2:N1540)/M1540</f>
        <v>114.22378965903417</v>
      </c>
    </row>
    <row r="1541" spans="1:15" x14ac:dyDescent="0.2">
      <c r="A1541">
        <v>1539</v>
      </c>
      <c r="B1541" s="11">
        <f t="shared" si="98"/>
        <v>0</v>
      </c>
      <c r="C1541">
        <f ca="1">SUM($B$2:B1541)/A1541</f>
        <v>112.15631317679905</v>
      </c>
      <c r="E1541">
        <v>1539</v>
      </c>
      <c r="F1541" s="11">
        <f t="shared" si="99"/>
        <v>0</v>
      </c>
      <c r="G1541">
        <f ca="1">SUM($F$2:F1541)/E1541</f>
        <v>114.14957017257605</v>
      </c>
      <c r="I1541">
        <v>1539</v>
      </c>
      <c r="J1541">
        <f t="shared" si="100"/>
        <v>0</v>
      </c>
      <c r="K1541">
        <f ca="1">SUM($J$2:J1541)/I1541</f>
        <v>112.15631317679905</v>
      </c>
      <c r="M1541">
        <v>1539</v>
      </c>
      <c r="N1541">
        <f t="shared" si="101"/>
        <v>0</v>
      </c>
      <c r="O1541">
        <f ca="1">SUM($N$2:N1541)/M1541</f>
        <v>114.14957017257605</v>
      </c>
    </row>
    <row r="1542" spans="1:15" x14ac:dyDescent="0.2">
      <c r="A1542">
        <v>1540</v>
      </c>
      <c r="B1542" s="11">
        <f t="shared" si="98"/>
        <v>0</v>
      </c>
      <c r="C1542">
        <f ca="1">SUM($B$2:B1542)/A1542</f>
        <v>112.08348440200891</v>
      </c>
      <c r="E1542">
        <v>1540</v>
      </c>
      <c r="F1542" s="11">
        <f t="shared" si="99"/>
        <v>0</v>
      </c>
      <c r="G1542">
        <f ca="1">SUM($F$2:F1542)/E1542</f>
        <v>114.07544707506139</v>
      </c>
      <c r="I1542">
        <v>1540</v>
      </c>
      <c r="J1542">
        <f t="shared" si="100"/>
        <v>0</v>
      </c>
      <c r="K1542">
        <f ca="1">SUM($J$2:J1542)/I1542</f>
        <v>112.08348440200891</v>
      </c>
      <c r="M1542">
        <v>1540</v>
      </c>
      <c r="N1542">
        <f t="shared" si="101"/>
        <v>0</v>
      </c>
      <c r="O1542">
        <f ca="1">SUM($N$2:N1542)/M1542</f>
        <v>114.07544707506139</v>
      </c>
    </row>
    <row r="1543" spans="1:15" x14ac:dyDescent="0.2">
      <c r="A1543">
        <v>1541</v>
      </c>
      <c r="B1543" s="11">
        <f t="shared" si="98"/>
        <v>0</v>
      </c>
      <c r="C1543">
        <f ca="1">SUM($B$2:B1543)/A1543</f>
        <v>112.01075014866562</v>
      </c>
      <c r="E1543">
        <v>1541</v>
      </c>
      <c r="F1543" s="11">
        <f t="shared" si="99"/>
        <v>0</v>
      </c>
      <c r="G1543">
        <f ca="1">SUM($F$2:F1543)/E1543</f>
        <v>114.00142017884136</v>
      </c>
      <c r="I1543">
        <v>1541</v>
      </c>
      <c r="J1543">
        <f t="shared" si="100"/>
        <v>0</v>
      </c>
      <c r="K1543">
        <f ca="1">SUM($J$2:J1543)/I1543</f>
        <v>112.01075014866562</v>
      </c>
      <c r="M1543">
        <v>1541</v>
      </c>
      <c r="N1543">
        <f t="shared" si="101"/>
        <v>0</v>
      </c>
      <c r="O1543">
        <f ca="1">SUM($N$2:N1543)/M1543</f>
        <v>114.00142017884136</v>
      </c>
    </row>
    <row r="1544" spans="1:15" x14ac:dyDescent="0.2">
      <c r="A1544">
        <v>1542</v>
      </c>
      <c r="B1544" s="11">
        <f t="shared" si="98"/>
        <v>0</v>
      </c>
      <c r="C1544">
        <f ca="1">SUM($B$2:B1544)/A1544</f>
        <v>111.9381102328753</v>
      </c>
      <c r="E1544">
        <v>1542</v>
      </c>
      <c r="F1544" s="11">
        <f t="shared" si="99"/>
        <v>0</v>
      </c>
      <c r="G1544">
        <f ca="1">SUM($F$2:F1544)/E1544</f>
        <v>113.92748929675392</v>
      </c>
      <c r="I1544">
        <v>1542</v>
      </c>
      <c r="J1544">
        <f t="shared" si="100"/>
        <v>0</v>
      </c>
      <c r="K1544">
        <f ca="1">SUM($J$2:J1544)/I1544</f>
        <v>111.9381102328753</v>
      </c>
      <c r="M1544">
        <v>1542</v>
      </c>
      <c r="N1544">
        <f t="shared" si="101"/>
        <v>0</v>
      </c>
      <c r="O1544">
        <f ca="1">SUM($N$2:N1544)/M1544</f>
        <v>113.92748929675392</v>
      </c>
    </row>
    <row r="1545" spans="1:15" x14ac:dyDescent="0.2">
      <c r="A1545">
        <v>1543</v>
      </c>
      <c r="B1545" s="11">
        <f t="shared" si="98"/>
        <v>0</v>
      </c>
      <c r="C1545">
        <f ca="1">SUM($B$2:B1545)/A1545</f>
        <v>111.86556447122082</v>
      </c>
      <c r="E1545">
        <v>1543</v>
      </c>
      <c r="F1545" s="11">
        <f t="shared" si="99"/>
        <v>0</v>
      </c>
      <c r="G1545">
        <f ca="1">SUM($F$2:F1545)/E1545</f>
        <v>113.85365424212219</v>
      </c>
      <c r="I1545">
        <v>1543</v>
      </c>
      <c r="J1545">
        <f t="shared" si="100"/>
        <v>0</v>
      </c>
      <c r="K1545">
        <f ca="1">SUM($J$2:J1545)/I1545</f>
        <v>111.86556447122082</v>
      </c>
      <c r="M1545">
        <v>1543</v>
      </c>
      <c r="N1545">
        <f t="shared" si="101"/>
        <v>0</v>
      </c>
      <c r="O1545">
        <f ca="1">SUM($N$2:N1545)/M1545</f>
        <v>113.85365424212219</v>
      </c>
    </row>
    <row r="1546" spans="1:15" x14ac:dyDescent="0.2">
      <c r="A1546">
        <v>1544</v>
      </c>
      <c r="B1546" s="11">
        <f t="shared" si="98"/>
        <v>0</v>
      </c>
      <c r="C1546">
        <f ca="1">SUM($B$2:B1546)/A1546</f>
        <v>111.79311268076019</v>
      </c>
      <c r="E1546">
        <v>1544</v>
      </c>
      <c r="F1546" s="11">
        <f t="shared" si="99"/>
        <v>0</v>
      </c>
      <c r="G1546">
        <f ca="1">SUM($F$2:F1546)/E1546</f>
        <v>113.77991482875294</v>
      </c>
      <c r="I1546">
        <v>1544</v>
      </c>
      <c r="J1546">
        <f t="shared" si="100"/>
        <v>0</v>
      </c>
      <c r="K1546">
        <f ca="1">SUM($J$2:J1546)/I1546</f>
        <v>111.79311268076019</v>
      </c>
      <c r="M1546">
        <v>1544</v>
      </c>
      <c r="N1546">
        <f t="shared" si="101"/>
        <v>0</v>
      </c>
      <c r="O1546">
        <f ca="1">SUM($N$2:N1546)/M1546</f>
        <v>113.77991482875294</v>
      </c>
    </row>
    <row r="1547" spans="1:15" x14ac:dyDescent="0.2">
      <c r="A1547">
        <v>1545</v>
      </c>
      <c r="B1547" s="11">
        <f t="shared" si="98"/>
        <v>0</v>
      </c>
      <c r="C1547">
        <f ca="1">SUM($B$2:B1547)/A1547</f>
        <v>111.72075467902506</v>
      </c>
      <c r="E1547">
        <v>1545</v>
      </c>
      <c r="F1547" s="11">
        <f t="shared" si="99"/>
        <v>0</v>
      </c>
      <c r="G1547">
        <f ca="1">SUM($F$2:F1547)/E1547</f>
        <v>113.70627087093497</v>
      </c>
      <c r="I1547">
        <v>1545</v>
      </c>
      <c r="J1547">
        <f t="shared" si="100"/>
        <v>0</v>
      </c>
      <c r="K1547">
        <f ca="1">SUM($J$2:J1547)/I1547</f>
        <v>111.72075467902506</v>
      </c>
      <c r="M1547">
        <v>1545</v>
      </c>
      <c r="N1547">
        <f t="shared" si="101"/>
        <v>0</v>
      </c>
      <c r="O1547">
        <f ca="1">SUM($N$2:N1547)/M1547</f>
        <v>113.70627087093497</v>
      </c>
    </row>
    <row r="1548" spans="1:15" x14ac:dyDescent="0.2">
      <c r="A1548">
        <v>1546</v>
      </c>
      <c r="B1548" s="11">
        <f t="shared" si="98"/>
        <v>0</v>
      </c>
      <c r="C1548">
        <f ca="1">SUM($B$2:B1548)/A1548</f>
        <v>111.64849028401922</v>
      </c>
      <c r="E1548">
        <v>1546</v>
      </c>
      <c r="F1548" s="11">
        <f t="shared" si="99"/>
        <v>0</v>
      </c>
      <c r="G1548">
        <f ca="1">SUM($F$2:F1548)/E1548</f>
        <v>113.63272218343761</v>
      </c>
      <c r="I1548">
        <v>1546</v>
      </c>
      <c r="J1548">
        <f t="shared" si="100"/>
        <v>0</v>
      </c>
      <c r="K1548">
        <f ca="1">SUM($J$2:J1548)/I1548</f>
        <v>111.64849028401922</v>
      </c>
      <c r="M1548">
        <v>1546</v>
      </c>
      <c r="N1548">
        <f t="shared" si="101"/>
        <v>0</v>
      </c>
      <c r="O1548">
        <f ca="1">SUM($N$2:N1548)/M1548</f>
        <v>113.63272218343761</v>
      </c>
    </row>
    <row r="1549" spans="1:15" x14ac:dyDescent="0.2">
      <c r="A1549">
        <v>1547</v>
      </c>
      <c r="B1549" s="11">
        <f t="shared" si="98"/>
        <v>0</v>
      </c>
      <c r="C1549">
        <f ca="1">SUM($B$2:B1549)/A1549</f>
        <v>111.57631931421702</v>
      </c>
      <c r="E1549">
        <v>1547</v>
      </c>
      <c r="F1549" s="11">
        <f t="shared" si="99"/>
        <v>0</v>
      </c>
      <c r="G1549">
        <f ca="1">SUM($F$2:F1549)/E1549</f>
        <v>113.55926858150907</v>
      </c>
      <c r="I1549">
        <v>1547</v>
      </c>
      <c r="J1549">
        <f t="shared" si="100"/>
        <v>0</v>
      </c>
      <c r="K1549">
        <f ca="1">SUM($J$2:J1549)/I1549</f>
        <v>111.57631931421702</v>
      </c>
      <c r="M1549">
        <v>1547</v>
      </c>
      <c r="N1549">
        <f t="shared" si="101"/>
        <v>0</v>
      </c>
      <c r="O1549">
        <f ca="1">SUM($N$2:N1549)/M1549</f>
        <v>113.55926858150907</v>
      </c>
    </row>
    <row r="1550" spans="1:15" x14ac:dyDescent="0.2">
      <c r="A1550">
        <v>1548</v>
      </c>
      <c r="B1550" s="11">
        <f t="shared" si="98"/>
        <v>0</v>
      </c>
      <c r="C1550">
        <f ca="1">SUM($B$2:B1550)/A1550</f>
        <v>111.50424158856184</v>
      </c>
      <c r="E1550">
        <v>1548</v>
      </c>
      <c r="F1550" s="11">
        <f t="shared" si="99"/>
        <v>0</v>
      </c>
      <c r="G1550">
        <f ca="1">SUM($F$2:F1550)/E1550</f>
        <v>113.48590988087503</v>
      </c>
      <c r="I1550">
        <v>1548</v>
      </c>
      <c r="J1550">
        <f t="shared" si="100"/>
        <v>0</v>
      </c>
      <c r="K1550">
        <f ca="1">SUM($J$2:J1550)/I1550</f>
        <v>111.50424158856184</v>
      </c>
      <c r="M1550">
        <v>1548</v>
      </c>
      <c r="N1550">
        <f t="shared" si="101"/>
        <v>0</v>
      </c>
      <c r="O1550">
        <f ca="1">SUM($N$2:N1550)/M1550</f>
        <v>113.48590988087503</v>
      </c>
    </row>
    <row r="1551" spans="1:15" x14ac:dyDescent="0.2">
      <c r="A1551">
        <v>1549</v>
      </c>
      <c r="B1551" s="11">
        <f t="shared" si="98"/>
        <v>0</v>
      </c>
      <c r="C1551">
        <f ca="1">SUM($B$2:B1551)/A1551</f>
        <v>111.43225692646463</v>
      </c>
      <c r="E1551">
        <v>1549</v>
      </c>
      <c r="F1551" s="11">
        <f t="shared" si="99"/>
        <v>0</v>
      </c>
      <c r="G1551">
        <f ca="1">SUM($F$2:F1551)/E1551</f>
        <v>113.41264589773695</v>
      </c>
      <c r="I1551">
        <v>1549</v>
      </c>
      <c r="J1551">
        <f t="shared" si="100"/>
        <v>0</v>
      </c>
      <c r="K1551">
        <f ca="1">SUM($J$2:J1551)/I1551</f>
        <v>111.43225692646463</v>
      </c>
      <c r="M1551">
        <v>1549</v>
      </c>
      <c r="N1551">
        <f t="shared" si="101"/>
        <v>0</v>
      </c>
      <c r="O1551">
        <f ca="1">SUM($N$2:N1551)/M1551</f>
        <v>113.41264589773695</v>
      </c>
    </row>
    <row r="1552" spans="1:15" x14ac:dyDescent="0.2">
      <c r="A1552">
        <v>1550</v>
      </c>
      <c r="B1552" s="11">
        <f t="shared" si="98"/>
        <v>0</v>
      </c>
      <c r="C1552">
        <f ca="1">SUM($B$2:B1552)/A1552</f>
        <v>111.3603651478024</v>
      </c>
      <c r="E1552">
        <v>1550</v>
      </c>
      <c r="F1552" s="11">
        <f t="shared" si="99"/>
        <v>0</v>
      </c>
      <c r="G1552">
        <f ca="1">SUM($F$2:F1552)/E1552</f>
        <v>113.33947644877067</v>
      </c>
      <c r="I1552">
        <v>1550</v>
      </c>
      <c r="J1552">
        <f t="shared" si="100"/>
        <v>0</v>
      </c>
      <c r="K1552">
        <f ca="1">SUM($J$2:J1552)/I1552</f>
        <v>111.3603651478024</v>
      </c>
      <c r="M1552">
        <v>1550</v>
      </c>
      <c r="N1552">
        <f t="shared" si="101"/>
        <v>0</v>
      </c>
      <c r="O1552">
        <f ca="1">SUM($N$2:N1552)/M1552</f>
        <v>113.33947644877067</v>
      </c>
    </row>
    <row r="1553" spans="1:15" x14ac:dyDescent="0.2">
      <c r="A1553">
        <v>1551</v>
      </c>
      <c r="B1553" s="11">
        <f t="shared" si="98"/>
        <v>0</v>
      </c>
      <c r="C1553">
        <f ca="1">SUM($B$2:B1553)/A1553</f>
        <v>111.28856607291665</v>
      </c>
      <c r="E1553">
        <v>1551</v>
      </c>
      <c r="F1553" s="11">
        <f t="shared" si="99"/>
        <v>0</v>
      </c>
      <c r="G1553">
        <f ca="1">SUM($F$2:F1553)/E1553</f>
        <v>113.26640135112478</v>
      </c>
      <c r="I1553">
        <v>1551</v>
      </c>
      <c r="J1553">
        <f t="shared" si="100"/>
        <v>0</v>
      </c>
      <c r="K1553">
        <f ca="1">SUM($J$2:J1553)/I1553</f>
        <v>111.28856607291665</v>
      </c>
      <c r="M1553">
        <v>1551</v>
      </c>
      <c r="N1553">
        <f t="shared" si="101"/>
        <v>0</v>
      </c>
      <c r="O1553">
        <f ca="1">SUM($N$2:N1553)/M1553</f>
        <v>113.26640135112478</v>
      </c>
    </row>
    <row r="1554" spans="1:15" x14ac:dyDescent="0.2">
      <c r="A1554">
        <v>1552</v>
      </c>
      <c r="B1554" s="11">
        <f t="shared" si="98"/>
        <v>0</v>
      </c>
      <c r="C1554">
        <f ca="1">SUM($B$2:B1554)/A1554</f>
        <v>111.21685952261193</v>
      </c>
      <c r="E1554">
        <v>1552</v>
      </c>
      <c r="F1554" s="11">
        <f t="shared" si="99"/>
        <v>0</v>
      </c>
      <c r="G1554">
        <f ca="1">SUM($F$2:F1554)/E1554</f>
        <v>113.19342042241917</v>
      </c>
      <c r="I1554">
        <v>1552</v>
      </c>
      <c r="J1554">
        <f t="shared" si="100"/>
        <v>0</v>
      </c>
      <c r="K1554">
        <f ca="1">SUM($J$2:J1554)/I1554</f>
        <v>111.21685952261193</v>
      </c>
      <c r="M1554">
        <v>1552</v>
      </c>
      <c r="N1554">
        <f t="shared" si="101"/>
        <v>0</v>
      </c>
      <c r="O1554">
        <f ca="1">SUM($N$2:N1554)/M1554</f>
        <v>113.19342042241917</v>
      </c>
    </row>
    <row r="1555" spans="1:15" x14ac:dyDescent="0.2">
      <c r="A1555">
        <v>1553</v>
      </c>
      <c r="B1555" s="11">
        <f t="shared" si="98"/>
        <v>0</v>
      </c>
      <c r="C1555">
        <f ca="1">SUM($B$2:B1555)/A1555</f>
        <v>111.14524531815437</v>
      </c>
      <c r="E1555">
        <v>1553</v>
      </c>
      <c r="F1555" s="11">
        <f t="shared" si="99"/>
        <v>0</v>
      </c>
      <c r="G1555">
        <f ca="1">SUM($F$2:F1555)/E1555</f>
        <v>113.12053348074343</v>
      </c>
      <c r="I1555">
        <v>1553</v>
      </c>
      <c r="J1555">
        <f t="shared" si="100"/>
        <v>0</v>
      </c>
      <c r="K1555">
        <f ca="1">SUM($J$2:J1555)/I1555</f>
        <v>111.14524531815437</v>
      </c>
      <c r="M1555">
        <v>1553</v>
      </c>
      <c r="N1555">
        <f t="shared" si="101"/>
        <v>0</v>
      </c>
      <c r="O1555">
        <f ca="1">SUM($N$2:N1555)/M1555</f>
        <v>113.12053348074343</v>
      </c>
    </row>
    <row r="1556" spans="1:15" x14ac:dyDescent="0.2">
      <c r="A1556">
        <v>1554</v>
      </c>
      <c r="B1556" s="11">
        <f t="shared" si="98"/>
        <v>0</v>
      </c>
      <c r="C1556">
        <f ca="1">SUM($B$2:B1556)/A1556</f>
        <v>111.07372328127009</v>
      </c>
      <c r="E1556">
        <v>1554</v>
      </c>
      <c r="F1556" s="11">
        <f t="shared" si="99"/>
        <v>0</v>
      </c>
      <c r="G1556">
        <f ca="1">SUM($F$2:F1556)/E1556</f>
        <v>113.04774034465544</v>
      </c>
      <c r="I1556">
        <v>1554</v>
      </c>
      <c r="J1556">
        <f t="shared" si="100"/>
        <v>0</v>
      </c>
      <c r="K1556">
        <f ca="1">SUM($J$2:J1556)/I1556</f>
        <v>111.07372328127009</v>
      </c>
      <c r="M1556">
        <v>1554</v>
      </c>
      <c r="N1556">
        <f t="shared" si="101"/>
        <v>0</v>
      </c>
      <c r="O1556">
        <f ca="1">SUM($N$2:N1556)/M1556</f>
        <v>113.04774034465544</v>
      </c>
    </row>
    <row r="1557" spans="1:15" x14ac:dyDescent="0.2">
      <c r="A1557">
        <v>1555</v>
      </c>
      <c r="B1557" s="11">
        <f t="shared" si="98"/>
        <v>0</v>
      </c>
      <c r="C1557">
        <f ca="1">SUM($B$2:B1557)/A1557</f>
        <v>111.00229323414388</v>
      </c>
      <c r="E1557">
        <v>1555</v>
      </c>
      <c r="F1557" s="11">
        <f t="shared" si="99"/>
        <v>0</v>
      </c>
      <c r="G1557">
        <f ca="1">SUM($F$2:F1557)/E1557</f>
        <v>112.97504083317978</v>
      </c>
      <c r="I1557">
        <v>1555</v>
      </c>
      <c r="J1557">
        <f t="shared" si="100"/>
        <v>0</v>
      </c>
      <c r="K1557">
        <f ca="1">SUM($J$2:J1557)/I1557</f>
        <v>111.00229323414388</v>
      </c>
      <c r="M1557">
        <v>1555</v>
      </c>
      <c r="N1557">
        <f t="shared" si="101"/>
        <v>0</v>
      </c>
      <c r="O1557">
        <f ca="1">SUM($N$2:N1557)/M1557</f>
        <v>112.97504083317978</v>
      </c>
    </row>
    <row r="1558" spans="1:15" x14ac:dyDescent="0.2">
      <c r="A1558">
        <v>1556</v>
      </c>
      <c r="B1558" s="11">
        <f t="shared" si="98"/>
        <v>0</v>
      </c>
      <c r="C1558">
        <f ca="1">SUM($B$2:B1558)/A1558</f>
        <v>110.93095499941755</v>
      </c>
      <c r="E1558">
        <v>1556</v>
      </c>
      <c r="F1558" s="11">
        <f t="shared" si="99"/>
        <v>0</v>
      </c>
      <c r="G1558">
        <f ca="1">SUM($F$2:F1558)/E1558</f>
        <v>112.90243476580626</v>
      </c>
      <c r="I1558">
        <v>1556</v>
      </c>
      <c r="J1558">
        <f t="shared" si="100"/>
        <v>0</v>
      </c>
      <c r="K1558">
        <f ca="1">SUM($J$2:J1558)/I1558</f>
        <v>110.93095499941755</v>
      </c>
      <c r="M1558">
        <v>1556</v>
      </c>
      <c r="N1558">
        <f t="shared" si="101"/>
        <v>0</v>
      </c>
      <c r="O1558">
        <f ca="1">SUM($N$2:N1558)/M1558</f>
        <v>112.90243476580626</v>
      </c>
    </row>
    <row r="1559" spans="1:15" x14ac:dyDescent="0.2">
      <c r="A1559">
        <v>1557</v>
      </c>
      <c r="B1559" s="11">
        <f t="shared" si="98"/>
        <v>0</v>
      </c>
      <c r="C1559">
        <f ca="1">SUM($B$2:B1559)/A1559</f>
        <v>110.85970840018865</v>
      </c>
      <c r="E1559">
        <v>1557</v>
      </c>
      <c r="F1559" s="11">
        <f t="shared" si="99"/>
        <v>0</v>
      </c>
      <c r="G1559">
        <f ca="1">SUM($F$2:F1559)/E1559</f>
        <v>112.82992196248847</v>
      </c>
      <c r="I1559">
        <v>1557</v>
      </c>
      <c r="J1559">
        <f t="shared" si="100"/>
        <v>0</v>
      </c>
      <c r="K1559">
        <f ca="1">SUM($J$2:J1559)/I1559</f>
        <v>110.85970840018865</v>
      </c>
      <c r="M1559">
        <v>1557</v>
      </c>
      <c r="N1559">
        <f t="shared" si="101"/>
        <v>0</v>
      </c>
      <c r="O1559">
        <f ca="1">SUM($N$2:N1559)/M1559</f>
        <v>112.82992196248847</v>
      </c>
    </row>
    <row r="1560" spans="1:15" x14ac:dyDescent="0.2">
      <c r="A1560">
        <v>1558</v>
      </c>
      <c r="B1560" s="11">
        <f t="shared" si="98"/>
        <v>0</v>
      </c>
      <c r="C1560">
        <f ca="1">SUM($B$2:B1560)/A1560</f>
        <v>110.78855326000881</v>
      </c>
      <c r="E1560">
        <v>1558</v>
      </c>
      <c r="F1560" s="11">
        <f t="shared" si="99"/>
        <v>0</v>
      </c>
      <c r="G1560">
        <f ca="1">SUM($F$2:F1560)/E1560</f>
        <v>112.75750224364219</v>
      </c>
      <c r="I1560">
        <v>1558</v>
      </c>
      <c r="J1560">
        <f t="shared" si="100"/>
        <v>0</v>
      </c>
      <c r="K1560">
        <f ca="1">SUM($J$2:J1560)/I1560</f>
        <v>110.78855326000881</v>
      </c>
      <c r="M1560">
        <v>1558</v>
      </c>
      <c r="N1560">
        <f t="shared" si="101"/>
        <v>0</v>
      </c>
      <c r="O1560">
        <f ca="1">SUM($N$2:N1560)/M1560</f>
        <v>112.75750224364219</v>
      </c>
    </row>
    <row r="1561" spans="1:15" x14ac:dyDescent="0.2">
      <c r="A1561">
        <v>1559</v>
      </c>
      <c r="B1561" s="11">
        <f t="shared" si="98"/>
        <v>0</v>
      </c>
      <c r="C1561">
        <f ca="1">SUM($B$2:B1561)/A1561</f>
        <v>110.71748940288244</v>
      </c>
      <c r="E1561">
        <v>1559</v>
      </c>
      <c r="F1561" s="11">
        <f t="shared" si="99"/>
        <v>0</v>
      </c>
      <c r="G1561">
        <f ca="1">SUM($F$2:F1561)/E1561</f>
        <v>112.68517543014403</v>
      </c>
      <c r="I1561">
        <v>1559</v>
      </c>
      <c r="J1561">
        <f t="shared" si="100"/>
        <v>0</v>
      </c>
      <c r="K1561">
        <f ca="1">SUM($J$2:J1561)/I1561</f>
        <v>110.71748940288244</v>
      </c>
      <c r="M1561">
        <v>1559</v>
      </c>
      <c r="N1561">
        <f t="shared" si="101"/>
        <v>0</v>
      </c>
      <c r="O1561">
        <f ca="1">SUM($N$2:N1561)/M1561</f>
        <v>112.68517543014403</v>
      </c>
    </row>
    <row r="1562" spans="1:15" x14ac:dyDescent="0.2">
      <c r="A1562">
        <v>1560</v>
      </c>
      <c r="B1562" s="11">
        <f t="shared" si="98"/>
        <v>0</v>
      </c>
      <c r="C1562">
        <f ca="1">SUM($B$2:B1562)/A1562</f>
        <v>110.64651665326521</v>
      </c>
      <c r="E1562">
        <v>1560</v>
      </c>
      <c r="F1562" s="11">
        <f t="shared" si="99"/>
        <v>0</v>
      </c>
      <c r="G1562">
        <f ca="1">SUM($F$2:F1562)/E1562</f>
        <v>112.61294134332984</v>
      </c>
      <c r="I1562">
        <v>1560</v>
      </c>
      <c r="J1562">
        <f t="shared" si="100"/>
        <v>0</v>
      </c>
      <c r="K1562">
        <f ca="1">SUM($J$2:J1562)/I1562</f>
        <v>110.64651665326521</v>
      </c>
      <c r="M1562">
        <v>1560</v>
      </c>
      <c r="N1562">
        <f t="shared" si="101"/>
        <v>0</v>
      </c>
      <c r="O1562">
        <f ca="1">SUM($N$2:N1562)/M1562</f>
        <v>112.61294134332984</v>
      </c>
    </row>
    <row r="1563" spans="1:15" x14ac:dyDescent="0.2">
      <c r="A1563">
        <v>1561</v>
      </c>
      <c r="B1563" s="11">
        <f t="shared" si="98"/>
        <v>0</v>
      </c>
      <c r="C1563">
        <f ca="1">SUM($B$2:B1563)/A1563</f>
        <v>110.5756348360626</v>
      </c>
      <c r="E1563">
        <v>1561</v>
      </c>
      <c r="F1563" s="11">
        <f t="shared" si="99"/>
        <v>0</v>
      </c>
      <c r="G1563">
        <f ca="1">SUM($F$2:F1563)/E1563</f>
        <v>112.5407998049933</v>
      </c>
      <c r="I1563">
        <v>1561</v>
      </c>
      <c r="J1563">
        <f t="shared" si="100"/>
        <v>0</v>
      </c>
      <c r="K1563">
        <f ca="1">SUM($J$2:J1563)/I1563</f>
        <v>110.5756348360626</v>
      </c>
      <c r="M1563">
        <v>1561</v>
      </c>
      <c r="N1563">
        <f t="shared" si="101"/>
        <v>0</v>
      </c>
      <c r="O1563">
        <f ca="1">SUM($N$2:N1563)/M1563</f>
        <v>112.5407998049933</v>
      </c>
    </row>
    <row r="1564" spans="1:15" x14ac:dyDescent="0.2">
      <c r="A1564">
        <v>1562</v>
      </c>
      <c r="B1564" s="11">
        <f t="shared" si="98"/>
        <v>0</v>
      </c>
      <c r="C1564">
        <f ca="1">SUM($B$2:B1564)/A1564</f>
        <v>110.5048437766285</v>
      </c>
      <c r="E1564">
        <v>1562</v>
      </c>
      <c r="F1564" s="11">
        <f t="shared" si="99"/>
        <v>0</v>
      </c>
      <c r="G1564">
        <f ca="1">SUM($F$2:F1564)/E1564</f>
        <v>112.46875063738447</v>
      </c>
      <c r="I1564">
        <v>1562</v>
      </c>
      <c r="J1564">
        <f t="shared" si="100"/>
        <v>0</v>
      </c>
      <c r="K1564">
        <f ca="1">SUM($J$2:J1564)/I1564</f>
        <v>110.5048437766285</v>
      </c>
      <c r="M1564">
        <v>1562</v>
      </c>
      <c r="N1564">
        <f t="shared" si="101"/>
        <v>0</v>
      </c>
      <c r="O1564">
        <f ca="1">SUM($N$2:N1564)/M1564</f>
        <v>112.46875063738447</v>
      </c>
    </row>
    <row r="1565" spans="1:15" x14ac:dyDescent="0.2">
      <c r="A1565">
        <v>1563</v>
      </c>
      <c r="B1565" s="11">
        <f t="shared" si="98"/>
        <v>0</v>
      </c>
      <c r="C1565">
        <f ca="1">SUM($B$2:B1565)/A1565</f>
        <v>110.43414330076374</v>
      </c>
      <c r="E1565">
        <v>1563</v>
      </c>
      <c r="F1565" s="11">
        <f t="shared" si="99"/>
        <v>0</v>
      </c>
      <c r="G1565">
        <f ca="1">SUM($F$2:F1565)/E1565</f>
        <v>112.39679366320829</v>
      </c>
      <c r="I1565">
        <v>1563</v>
      </c>
      <c r="J1565">
        <f t="shared" si="100"/>
        <v>0</v>
      </c>
      <c r="K1565">
        <f ca="1">SUM($J$2:J1565)/I1565</f>
        <v>110.43414330076374</v>
      </c>
      <c r="M1565">
        <v>1563</v>
      </c>
      <c r="N1565">
        <f t="shared" si="101"/>
        <v>0</v>
      </c>
      <c r="O1565">
        <f ca="1">SUM($N$2:N1565)/M1565</f>
        <v>112.39679366320829</v>
      </c>
    </row>
    <row r="1566" spans="1:15" x14ac:dyDescent="0.2">
      <c r="A1566">
        <v>1564</v>
      </c>
      <c r="B1566" s="11">
        <f t="shared" si="98"/>
        <v>0</v>
      </c>
      <c r="C1566">
        <f ca="1">SUM($B$2:B1566)/A1566</f>
        <v>110.36353323471465</v>
      </c>
      <c r="E1566">
        <v>1564</v>
      </c>
      <c r="F1566" s="11">
        <f t="shared" si="99"/>
        <v>0</v>
      </c>
      <c r="G1566">
        <f ca="1">SUM($F$2:F1566)/E1566</f>
        <v>112.32492870562311</v>
      </c>
      <c r="I1566">
        <v>1564</v>
      </c>
      <c r="J1566">
        <f t="shared" si="100"/>
        <v>0</v>
      </c>
      <c r="K1566">
        <f ca="1">SUM($J$2:J1566)/I1566</f>
        <v>110.36353323471465</v>
      </c>
      <c r="M1566">
        <v>1564</v>
      </c>
      <c r="N1566">
        <f t="shared" si="101"/>
        <v>0</v>
      </c>
      <c r="O1566">
        <f ca="1">SUM($N$2:N1566)/M1566</f>
        <v>112.32492870562311</v>
      </c>
    </row>
    <row r="1567" spans="1:15" x14ac:dyDescent="0.2">
      <c r="A1567">
        <v>1565</v>
      </c>
      <c r="B1567" s="11">
        <f t="shared" si="98"/>
        <v>0</v>
      </c>
      <c r="C1567">
        <f ca="1">SUM($B$2:B1567)/A1567</f>
        <v>110.29301340517171</v>
      </c>
      <c r="E1567">
        <v>1565</v>
      </c>
      <c r="F1567" s="11">
        <f t="shared" si="99"/>
        <v>0</v>
      </c>
      <c r="G1567">
        <f ca="1">SUM($F$2:F1567)/E1567</f>
        <v>112.25315558823932</v>
      </c>
      <c r="I1567">
        <v>1565</v>
      </c>
      <c r="J1567">
        <f t="shared" si="100"/>
        <v>0</v>
      </c>
      <c r="K1567">
        <f ca="1">SUM($J$2:J1567)/I1567</f>
        <v>110.29301340517171</v>
      </c>
      <c r="M1567">
        <v>1565</v>
      </c>
      <c r="N1567">
        <f t="shared" si="101"/>
        <v>0</v>
      </c>
      <c r="O1567">
        <f ca="1">SUM($N$2:N1567)/M1567</f>
        <v>112.25315558823932</v>
      </c>
    </row>
    <row r="1568" spans="1:15" x14ac:dyDescent="0.2">
      <c r="A1568">
        <v>1566</v>
      </c>
      <c r="B1568" s="11">
        <f t="shared" si="98"/>
        <v>0</v>
      </c>
      <c r="C1568">
        <f ca="1">SUM($B$2:B1568)/A1568</f>
        <v>110.22258363926802</v>
      </c>
      <c r="E1568">
        <v>1566</v>
      </c>
      <c r="F1568" s="11">
        <f t="shared" si="99"/>
        <v>0</v>
      </c>
      <c r="G1568">
        <f ca="1">SUM($F$2:F1568)/E1568</f>
        <v>112.18147413511784</v>
      </c>
      <c r="I1568">
        <v>1566</v>
      </c>
      <c r="J1568">
        <f t="shared" si="100"/>
        <v>0</v>
      </c>
      <c r="K1568">
        <f ca="1">SUM($J$2:J1568)/I1568</f>
        <v>110.22258363926802</v>
      </c>
      <c r="M1568">
        <v>1566</v>
      </c>
      <c r="N1568">
        <f t="shared" si="101"/>
        <v>0</v>
      </c>
      <c r="O1568">
        <f ca="1">SUM($N$2:N1568)/M1568</f>
        <v>112.18147413511784</v>
      </c>
    </row>
    <row r="1569" spans="1:15" x14ac:dyDescent="0.2">
      <c r="A1569">
        <v>1567</v>
      </c>
      <c r="B1569" s="11">
        <f t="shared" si="98"/>
        <v>0</v>
      </c>
      <c r="C1569">
        <f ca="1">SUM($B$2:B1569)/A1569</f>
        <v>110.152243764578</v>
      </c>
      <c r="E1569">
        <v>1567</v>
      </c>
      <c r="F1569" s="11">
        <f t="shared" si="99"/>
        <v>0</v>
      </c>
      <c r="G1569">
        <f ca="1">SUM($F$2:F1569)/E1569</f>
        <v>112.10988417076869</v>
      </c>
      <c r="I1569">
        <v>1567</v>
      </c>
      <c r="J1569">
        <f t="shared" si="100"/>
        <v>0</v>
      </c>
      <c r="K1569">
        <f ca="1">SUM($J$2:J1569)/I1569</f>
        <v>110.152243764578</v>
      </c>
      <c r="M1569">
        <v>1567</v>
      </c>
      <c r="N1569">
        <f t="shared" si="101"/>
        <v>0</v>
      </c>
      <c r="O1569">
        <f ca="1">SUM($N$2:N1569)/M1569</f>
        <v>112.10988417076869</v>
      </c>
    </row>
    <row r="1570" spans="1:15" x14ac:dyDescent="0.2">
      <c r="A1570">
        <v>1568</v>
      </c>
      <c r="B1570" s="11">
        <f t="shared" si="98"/>
        <v>0</v>
      </c>
      <c r="C1570">
        <f ca="1">SUM($B$2:B1570)/A1570</f>
        <v>110.0819936091159</v>
      </c>
      <c r="E1570">
        <v>1568</v>
      </c>
      <c r="F1570" s="11">
        <f t="shared" si="99"/>
        <v>0</v>
      </c>
      <c r="G1570">
        <f ca="1">SUM($F$2:F1570)/E1570</f>
        <v>112.03838552014957</v>
      </c>
      <c r="I1570">
        <v>1568</v>
      </c>
      <c r="J1570">
        <f t="shared" si="100"/>
        <v>0</v>
      </c>
      <c r="K1570">
        <f ca="1">SUM($J$2:J1570)/I1570</f>
        <v>110.0819936091159</v>
      </c>
      <c r="M1570">
        <v>1568</v>
      </c>
      <c r="N1570">
        <f t="shared" si="101"/>
        <v>0</v>
      </c>
      <c r="O1570">
        <f ca="1">SUM($N$2:N1570)/M1570</f>
        <v>112.03838552014957</v>
      </c>
    </row>
    <row r="1571" spans="1:15" x14ac:dyDescent="0.2">
      <c r="A1571">
        <v>1569</v>
      </c>
      <c r="B1571" s="11">
        <f t="shared" si="98"/>
        <v>0</v>
      </c>
      <c r="C1571">
        <f ca="1">SUM($B$2:B1571)/A1571</f>
        <v>110.01183300133442</v>
      </c>
      <c r="E1571">
        <v>1569</v>
      </c>
      <c r="F1571" s="11">
        <f t="shared" si="99"/>
        <v>0</v>
      </c>
      <c r="G1571">
        <f ca="1">SUM($F$2:F1571)/E1571</f>
        <v>111.96697800866447</v>
      </c>
      <c r="I1571">
        <v>1569</v>
      </c>
      <c r="J1571">
        <f t="shared" si="100"/>
        <v>0</v>
      </c>
      <c r="K1571">
        <f ca="1">SUM($J$2:J1571)/I1571</f>
        <v>110.01183300133442</v>
      </c>
      <c r="M1571">
        <v>1569</v>
      </c>
      <c r="N1571">
        <f t="shared" si="101"/>
        <v>0</v>
      </c>
      <c r="O1571">
        <f ca="1">SUM($N$2:N1571)/M1571</f>
        <v>111.96697800866447</v>
      </c>
    </row>
    <row r="1572" spans="1:15" x14ac:dyDescent="0.2">
      <c r="A1572">
        <v>1570</v>
      </c>
      <c r="B1572" s="11">
        <f t="shared" si="98"/>
        <v>0</v>
      </c>
      <c r="C1572">
        <f ca="1">SUM($B$2:B1572)/A1572</f>
        <v>109.94176177012339</v>
      </c>
      <c r="E1572">
        <v>1570</v>
      </c>
      <c r="F1572" s="11">
        <f t="shared" si="99"/>
        <v>0</v>
      </c>
      <c r="G1572">
        <f ca="1">SUM($F$2:F1572)/E1572</f>
        <v>111.89566146216212</v>
      </c>
      <c r="I1572">
        <v>1570</v>
      </c>
      <c r="J1572">
        <f t="shared" si="100"/>
        <v>0</v>
      </c>
      <c r="K1572">
        <f ca="1">SUM($J$2:J1572)/I1572</f>
        <v>109.94176177012339</v>
      </c>
      <c r="M1572">
        <v>1570</v>
      </c>
      <c r="N1572">
        <f t="shared" si="101"/>
        <v>0</v>
      </c>
      <c r="O1572">
        <f ca="1">SUM($N$2:N1572)/M1572</f>
        <v>111.89566146216212</v>
      </c>
    </row>
    <row r="1573" spans="1:15" x14ac:dyDescent="0.2">
      <c r="A1573">
        <v>1571</v>
      </c>
      <c r="B1573" s="11">
        <f t="shared" si="98"/>
        <v>0</v>
      </c>
      <c r="C1573">
        <f ca="1">SUM($B$2:B1573)/A1573</f>
        <v>109.87177974480822</v>
      </c>
      <c r="E1573">
        <v>1571</v>
      </c>
      <c r="F1573" s="11">
        <f t="shared" si="99"/>
        <v>0</v>
      </c>
      <c r="G1573">
        <f ca="1">SUM($F$2:F1573)/E1573</f>
        <v>111.82443570693478</v>
      </c>
      <c r="I1573">
        <v>1571</v>
      </c>
      <c r="J1573">
        <f t="shared" si="100"/>
        <v>0</v>
      </c>
      <c r="K1573">
        <f ca="1">SUM($J$2:J1573)/I1573</f>
        <v>109.87177974480822</v>
      </c>
      <c r="M1573">
        <v>1571</v>
      </c>
      <c r="N1573">
        <f t="shared" si="101"/>
        <v>0</v>
      </c>
      <c r="O1573">
        <f ca="1">SUM($N$2:N1573)/M1573</f>
        <v>111.82443570693478</v>
      </c>
    </row>
    <row r="1574" spans="1:15" x14ac:dyDescent="0.2">
      <c r="A1574">
        <v>1572</v>
      </c>
      <c r="B1574" s="11">
        <f t="shared" si="98"/>
        <v>0</v>
      </c>
      <c r="C1574">
        <f ca="1">SUM($B$2:B1574)/A1574</f>
        <v>109.80188675514867</v>
      </c>
      <c r="E1574">
        <v>1572</v>
      </c>
      <c r="F1574" s="11">
        <f t="shared" si="99"/>
        <v>0</v>
      </c>
      <c r="G1574">
        <f ca="1">SUM($F$2:F1574)/E1574</f>
        <v>111.75330056971663</v>
      </c>
      <c r="I1574">
        <v>1572</v>
      </c>
      <c r="J1574">
        <f t="shared" si="100"/>
        <v>0</v>
      </c>
      <c r="K1574">
        <f ca="1">SUM($J$2:J1574)/I1574</f>
        <v>109.80188675514867</v>
      </c>
      <c r="M1574">
        <v>1572</v>
      </c>
      <c r="N1574">
        <f t="shared" si="101"/>
        <v>0</v>
      </c>
      <c r="O1574">
        <f ca="1">SUM($N$2:N1574)/M1574</f>
        <v>111.75330056971663</v>
      </c>
    </row>
    <row r="1575" spans="1:15" x14ac:dyDescent="0.2">
      <c r="A1575">
        <v>1573</v>
      </c>
      <c r="B1575" s="11">
        <f t="shared" si="98"/>
        <v>0</v>
      </c>
      <c r="C1575">
        <f ca="1">SUM($B$2:B1575)/A1575</f>
        <v>109.73208263133739</v>
      </c>
      <c r="E1575">
        <v>1573</v>
      </c>
      <c r="F1575" s="11">
        <f t="shared" si="99"/>
        <v>0</v>
      </c>
      <c r="G1575">
        <f ca="1">SUM($F$2:F1575)/E1575</f>
        <v>111.68225587768248</v>
      </c>
      <c r="I1575">
        <v>1573</v>
      </c>
      <c r="J1575">
        <f t="shared" si="100"/>
        <v>0</v>
      </c>
      <c r="K1575">
        <f ca="1">SUM($J$2:J1575)/I1575</f>
        <v>109.73208263133739</v>
      </c>
      <c r="M1575">
        <v>1573</v>
      </c>
      <c r="N1575">
        <f t="shared" si="101"/>
        <v>0</v>
      </c>
      <c r="O1575">
        <f ca="1">SUM($N$2:N1575)/M1575</f>
        <v>111.68225587768248</v>
      </c>
    </row>
    <row r="1576" spans="1:15" x14ac:dyDescent="0.2">
      <c r="A1576">
        <v>1574</v>
      </c>
      <c r="B1576" s="11">
        <f t="shared" si="98"/>
        <v>0</v>
      </c>
      <c r="C1576">
        <f ca="1">SUM($B$2:B1576)/A1576</f>
        <v>109.66236720399856</v>
      </c>
      <c r="E1576">
        <v>1574</v>
      </c>
      <c r="F1576" s="11">
        <f t="shared" si="99"/>
        <v>0</v>
      </c>
      <c r="G1576">
        <f ca="1">SUM($F$2:F1576)/E1576</f>
        <v>111.61130145844635</v>
      </c>
      <c r="I1576">
        <v>1574</v>
      </c>
      <c r="J1576">
        <f t="shared" si="100"/>
        <v>0</v>
      </c>
      <c r="K1576">
        <f ca="1">SUM($J$2:J1576)/I1576</f>
        <v>109.66236720399856</v>
      </c>
      <c r="M1576">
        <v>1574</v>
      </c>
      <c r="N1576">
        <f t="shared" si="101"/>
        <v>0</v>
      </c>
      <c r="O1576">
        <f ca="1">SUM($N$2:N1576)/M1576</f>
        <v>111.61130145844635</v>
      </c>
    </row>
    <row r="1577" spans="1:15" x14ac:dyDescent="0.2">
      <c r="A1577">
        <v>1575</v>
      </c>
      <c r="B1577" s="11">
        <f t="shared" si="98"/>
        <v>0</v>
      </c>
      <c r="C1577">
        <f ca="1">SUM($B$2:B1577)/A1577</f>
        <v>109.59274030418649</v>
      </c>
      <c r="E1577">
        <v>1575</v>
      </c>
      <c r="F1577" s="11">
        <f t="shared" si="99"/>
        <v>0</v>
      </c>
      <c r="G1577">
        <f ca="1">SUM($F$2:F1577)/E1577</f>
        <v>111.54043714006002</v>
      </c>
      <c r="I1577">
        <v>1575</v>
      </c>
      <c r="J1577">
        <f t="shared" si="100"/>
        <v>0</v>
      </c>
      <c r="K1577">
        <f ca="1">SUM($J$2:J1577)/I1577</f>
        <v>109.59274030418649</v>
      </c>
      <c r="M1577">
        <v>1575</v>
      </c>
      <c r="N1577">
        <f t="shared" si="101"/>
        <v>0</v>
      </c>
      <c r="O1577">
        <f ca="1">SUM($N$2:N1577)/M1577</f>
        <v>111.54043714006002</v>
      </c>
    </row>
    <row r="1578" spans="1:15" x14ac:dyDescent="0.2">
      <c r="A1578">
        <v>1576</v>
      </c>
      <c r="B1578" s="11">
        <f t="shared" si="98"/>
        <v>0</v>
      </c>
      <c r="C1578">
        <f ca="1">SUM($B$2:B1578)/A1578</f>
        <v>109.52320176338434</v>
      </c>
      <c r="E1578">
        <v>1576</v>
      </c>
      <c r="F1578" s="11">
        <f t="shared" si="99"/>
        <v>0</v>
      </c>
      <c r="G1578">
        <f ca="1">SUM($F$2:F1578)/E1578</f>
        <v>111.46966275101177</v>
      </c>
      <c r="I1578">
        <v>1576</v>
      </c>
      <c r="J1578">
        <f t="shared" si="100"/>
        <v>0</v>
      </c>
      <c r="K1578">
        <f ca="1">SUM($J$2:J1578)/I1578</f>
        <v>109.52320176338434</v>
      </c>
      <c r="M1578">
        <v>1576</v>
      </c>
      <c r="N1578">
        <f t="shared" si="101"/>
        <v>0</v>
      </c>
      <c r="O1578">
        <f ca="1">SUM($N$2:N1578)/M1578</f>
        <v>111.46966275101177</v>
      </c>
    </row>
    <row r="1579" spans="1:15" x14ac:dyDescent="0.2">
      <c r="A1579">
        <v>1577</v>
      </c>
      <c r="B1579" s="11">
        <f t="shared" si="98"/>
        <v>0</v>
      </c>
      <c r="C1579">
        <f ca="1">SUM($B$2:B1579)/A1579</f>
        <v>109.45375141350267</v>
      </c>
      <c r="E1579">
        <v>1577</v>
      </c>
      <c r="F1579" s="11">
        <f t="shared" si="99"/>
        <v>0</v>
      </c>
      <c r="G1579">
        <f ca="1">SUM($F$2:F1579)/E1579</f>
        <v>111.39897812022483</v>
      </c>
      <c r="I1579">
        <v>1577</v>
      </c>
      <c r="J1579">
        <f t="shared" si="100"/>
        <v>0</v>
      </c>
      <c r="K1579">
        <f ca="1">SUM($J$2:J1579)/I1579</f>
        <v>109.45375141350267</v>
      </c>
      <c r="M1579">
        <v>1577</v>
      </c>
      <c r="N1579">
        <f t="shared" si="101"/>
        <v>0</v>
      </c>
      <c r="O1579">
        <f ca="1">SUM($N$2:N1579)/M1579</f>
        <v>111.39897812022483</v>
      </c>
    </row>
    <row r="1580" spans="1:15" x14ac:dyDescent="0.2">
      <c r="A1580">
        <v>1578</v>
      </c>
      <c r="B1580" s="11">
        <f t="shared" si="98"/>
        <v>0</v>
      </c>
      <c r="C1580">
        <f ca="1">SUM($B$2:B1580)/A1580</f>
        <v>109.38438908687814</v>
      </c>
      <c r="E1580">
        <v>1578</v>
      </c>
      <c r="F1580" s="11">
        <f t="shared" si="99"/>
        <v>0</v>
      </c>
      <c r="G1580">
        <f ca="1">SUM($F$2:F1580)/E1580</f>
        <v>111.32838307705612</v>
      </c>
      <c r="I1580">
        <v>1578</v>
      </c>
      <c r="J1580">
        <f t="shared" si="100"/>
        <v>0</v>
      </c>
      <c r="K1580">
        <f ca="1">SUM($J$2:J1580)/I1580</f>
        <v>109.38438908687814</v>
      </c>
      <c r="M1580">
        <v>1578</v>
      </c>
      <c r="N1580">
        <f t="shared" si="101"/>
        <v>0</v>
      </c>
      <c r="O1580">
        <f ca="1">SUM($N$2:N1580)/M1580</f>
        <v>111.32838307705612</v>
      </c>
    </row>
    <row r="1581" spans="1:15" x14ac:dyDescent="0.2">
      <c r="A1581">
        <v>1579</v>
      </c>
      <c r="B1581" s="11">
        <f t="shared" si="98"/>
        <v>0</v>
      </c>
      <c r="C1581">
        <f ca="1">SUM($B$2:B1581)/A1581</f>
        <v>109.31511461627214</v>
      </c>
      <c r="E1581">
        <v>1579</v>
      </c>
      <c r="F1581" s="11">
        <f t="shared" si="99"/>
        <v>0</v>
      </c>
      <c r="G1581">
        <f ca="1">SUM($F$2:F1581)/E1581</f>
        <v>111.25787745129483</v>
      </c>
      <c r="I1581">
        <v>1579</v>
      </c>
      <c r="J1581">
        <f t="shared" si="100"/>
        <v>0</v>
      </c>
      <c r="K1581">
        <f ca="1">SUM($J$2:J1581)/I1581</f>
        <v>109.31511461627214</v>
      </c>
      <c r="M1581">
        <v>1579</v>
      </c>
      <c r="N1581">
        <f t="shared" si="101"/>
        <v>0</v>
      </c>
      <c r="O1581">
        <f ca="1">SUM($N$2:N1581)/M1581</f>
        <v>111.25787745129483</v>
      </c>
    </row>
    <row r="1582" spans="1:15" x14ac:dyDescent="0.2">
      <c r="A1582">
        <v>1580</v>
      </c>
      <c r="B1582" s="11">
        <f t="shared" si="98"/>
        <v>0</v>
      </c>
      <c r="C1582">
        <f ca="1">SUM($B$2:B1582)/A1582</f>
        <v>109.24592783486945</v>
      </c>
      <c r="E1582">
        <v>1580</v>
      </c>
      <c r="F1582" s="11">
        <f t="shared" si="99"/>
        <v>0</v>
      </c>
      <c r="G1582">
        <f ca="1">SUM($F$2:F1582)/E1582</f>
        <v>111.1874610731611</v>
      </c>
      <c r="I1582">
        <v>1580</v>
      </c>
      <c r="J1582">
        <f t="shared" si="100"/>
        <v>0</v>
      </c>
      <c r="K1582">
        <f ca="1">SUM($J$2:J1582)/I1582</f>
        <v>109.24592783486945</v>
      </c>
      <c r="M1582">
        <v>1580</v>
      </c>
      <c r="N1582">
        <f t="shared" si="101"/>
        <v>0</v>
      </c>
      <c r="O1582">
        <f ca="1">SUM($N$2:N1582)/M1582</f>
        <v>111.1874610731611</v>
      </c>
    </row>
    <row r="1583" spans="1:15" x14ac:dyDescent="0.2">
      <c r="A1583">
        <v>1581</v>
      </c>
      <c r="B1583" s="11">
        <f t="shared" si="98"/>
        <v>0</v>
      </c>
      <c r="C1583">
        <f ca="1">SUM($B$2:B1583)/A1583</f>
        <v>109.17682857627686</v>
      </c>
      <c r="E1583">
        <v>1581</v>
      </c>
      <c r="F1583" s="11">
        <f t="shared" si="99"/>
        <v>0</v>
      </c>
      <c r="G1583">
        <f ca="1">SUM($F$2:F1583)/E1583</f>
        <v>111.11713377330459</v>
      </c>
      <c r="I1583">
        <v>1581</v>
      </c>
      <c r="J1583">
        <f t="shared" si="100"/>
        <v>0</v>
      </c>
      <c r="K1583">
        <f ca="1">SUM($J$2:J1583)/I1583</f>
        <v>109.17682857627686</v>
      </c>
      <c r="M1583">
        <v>1581</v>
      </c>
      <c r="N1583">
        <f t="shared" si="101"/>
        <v>0</v>
      </c>
      <c r="O1583">
        <f ca="1">SUM($N$2:N1583)/M1583</f>
        <v>111.11713377330459</v>
      </c>
    </row>
    <row r="1584" spans="1:15" x14ac:dyDescent="0.2">
      <c r="A1584">
        <v>1582</v>
      </c>
      <c r="B1584" s="11">
        <f t="shared" si="98"/>
        <v>0</v>
      </c>
      <c r="C1584">
        <f ca="1">SUM($B$2:B1584)/A1584</f>
        <v>109.10781667452194</v>
      </c>
      <c r="E1584">
        <v>1582</v>
      </c>
      <c r="F1584" s="11">
        <f t="shared" si="99"/>
        <v>0</v>
      </c>
      <c r="G1584">
        <f ca="1">SUM($F$2:F1584)/E1584</f>
        <v>111.04689538280313</v>
      </c>
      <c r="I1584">
        <v>1582</v>
      </c>
      <c r="J1584">
        <f t="shared" si="100"/>
        <v>0</v>
      </c>
      <c r="K1584">
        <f ca="1">SUM($J$2:J1584)/I1584</f>
        <v>109.10781667452194</v>
      </c>
      <c r="M1584">
        <v>1582</v>
      </c>
      <c r="N1584">
        <f t="shared" si="101"/>
        <v>0</v>
      </c>
      <c r="O1584">
        <f ca="1">SUM($N$2:N1584)/M1584</f>
        <v>111.04689538280313</v>
      </c>
    </row>
    <row r="1585" spans="1:15" x14ac:dyDescent="0.2">
      <c r="A1585">
        <v>1583</v>
      </c>
      <c r="B1585" s="11">
        <f t="shared" si="98"/>
        <v>0</v>
      </c>
      <c r="C1585">
        <f ca="1">SUM($B$2:B1585)/A1585</f>
        <v>109.03889196405163</v>
      </c>
      <c r="E1585">
        <v>1583</v>
      </c>
      <c r="F1585" s="11">
        <f t="shared" si="99"/>
        <v>0</v>
      </c>
      <c r="G1585">
        <f ca="1">SUM($F$2:F1585)/E1585</f>
        <v>110.97674573316142</v>
      </c>
      <c r="I1585">
        <v>1583</v>
      </c>
      <c r="J1585">
        <f t="shared" si="100"/>
        <v>0</v>
      </c>
      <c r="K1585">
        <f ca="1">SUM($J$2:J1585)/I1585</f>
        <v>109.03889196405163</v>
      </c>
      <c r="M1585">
        <v>1583</v>
      </c>
      <c r="N1585">
        <f t="shared" si="101"/>
        <v>0</v>
      </c>
      <c r="O1585">
        <f ca="1">SUM($N$2:N1585)/M1585</f>
        <v>110.97674573316142</v>
      </c>
    </row>
    <row r="1586" spans="1:15" x14ac:dyDescent="0.2">
      <c r="A1586">
        <v>1584</v>
      </c>
      <c r="B1586" s="11">
        <f t="shared" si="98"/>
        <v>0</v>
      </c>
      <c r="C1586">
        <f ca="1">SUM($B$2:B1586)/A1586</f>
        <v>108.97005427973089</v>
      </c>
      <c r="E1586">
        <v>1584</v>
      </c>
      <c r="F1586" s="11">
        <f t="shared" si="99"/>
        <v>0</v>
      </c>
      <c r="G1586">
        <f ca="1">SUM($F$2:F1586)/E1586</f>
        <v>110.90668465630968</v>
      </c>
      <c r="I1586">
        <v>1584</v>
      </c>
      <c r="J1586">
        <f t="shared" si="100"/>
        <v>0</v>
      </c>
      <c r="K1586">
        <f ca="1">SUM($J$2:J1586)/I1586</f>
        <v>108.97005427973089</v>
      </c>
      <c r="M1586">
        <v>1584</v>
      </c>
      <c r="N1586">
        <f t="shared" si="101"/>
        <v>0</v>
      </c>
      <c r="O1586">
        <f ca="1">SUM($N$2:N1586)/M1586</f>
        <v>110.90668465630968</v>
      </c>
    </row>
    <row r="1587" spans="1:15" x14ac:dyDescent="0.2">
      <c r="A1587">
        <v>1585</v>
      </c>
      <c r="B1587" s="11">
        <f t="shared" si="98"/>
        <v>0</v>
      </c>
      <c r="C1587">
        <f ca="1">SUM($B$2:B1587)/A1587</f>
        <v>108.90130345684146</v>
      </c>
      <c r="E1587">
        <v>1585</v>
      </c>
      <c r="F1587" s="11">
        <f t="shared" si="99"/>
        <v>0</v>
      </c>
      <c r="G1587">
        <f ca="1">SUM($F$2:F1587)/E1587</f>
        <v>110.83671198460223</v>
      </c>
      <c r="I1587">
        <v>1585</v>
      </c>
      <c r="J1587">
        <f t="shared" si="100"/>
        <v>0</v>
      </c>
      <c r="K1587">
        <f ca="1">SUM($J$2:J1587)/I1587</f>
        <v>108.90130345684146</v>
      </c>
      <c r="M1587">
        <v>1585</v>
      </c>
      <c r="N1587">
        <f t="shared" si="101"/>
        <v>0</v>
      </c>
      <c r="O1587">
        <f ca="1">SUM($N$2:N1587)/M1587</f>
        <v>110.83671198460223</v>
      </c>
    </row>
    <row r="1588" spans="1:15" x14ac:dyDescent="0.2">
      <c r="A1588">
        <v>1586</v>
      </c>
      <c r="B1588" s="11">
        <f t="shared" si="98"/>
        <v>0</v>
      </c>
      <c r="C1588">
        <f ca="1">SUM($B$2:B1588)/A1588</f>
        <v>108.83263933108053</v>
      </c>
      <c r="E1588">
        <v>1586</v>
      </c>
      <c r="F1588" s="11">
        <f t="shared" si="99"/>
        <v>0</v>
      </c>
      <c r="G1588">
        <f ca="1">SUM($F$2:F1588)/E1588</f>
        <v>110.76682755081623</v>
      </c>
      <c r="I1588">
        <v>1586</v>
      </c>
      <c r="J1588">
        <f t="shared" si="100"/>
        <v>0</v>
      </c>
      <c r="K1588">
        <f ca="1">SUM($J$2:J1588)/I1588</f>
        <v>108.83263933108053</v>
      </c>
      <c r="M1588">
        <v>1586</v>
      </c>
      <c r="N1588">
        <f t="shared" si="101"/>
        <v>0</v>
      </c>
      <c r="O1588">
        <f ca="1">SUM($N$2:N1588)/M1588</f>
        <v>110.76682755081623</v>
      </c>
    </row>
    <row r="1589" spans="1:15" x14ac:dyDescent="0.2">
      <c r="A1589">
        <v>1587</v>
      </c>
      <c r="B1589" s="11">
        <f t="shared" si="98"/>
        <v>0</v>
      </c>
      <c r="C1589">
        <f ca="1">SUM($B$2:B1589)/A1589</f>
        <v>108.76406173855938</v>
      </c>
      <c r="E1589">
        <v>1587</v>
      </c>
      <c r="F1589" s="11">
        <f t="shared" si="99"/>
        <v>0</v>
      </c>
      <c r="G1589">
        <f ca="1">SUM($F$2:F1589)/E1589</f>
        <v>110.69703118815031</v>
      </c>
      <c r="I1589">
        <v>1587</v>
      </c>
      <c r="J1589">
        <f t="shared" si="100"/>
        <v>0</v>
      </c>
      <c r="K1589">
        <f ca="1">SUM($J$2:J1589)/I1589</f>
        <v>108.76406173855938</v>
      </c>
      <c r="M1589">
        <v>1587</v>
      </c>
      <c r="N1589">
        <f t="shared" si="101"/>
        <v>0</v>
      </c>
      <c r="O1589">
        <f ca="1">SUM($N$2:N1589)/M1589</f>
        <v>110.69703118815031</v>
      </c>
    </row>
    <row r="1590" spans="1:15" x14ac:dyDescent="0.2">
      <c r="A1590">
        <v>1588</v>
      </c>
      <c r="B1590" s="11">
        <f t="shared" si="98"/>
        <v>0</v>
      </c>
      <c r="C1590">
        <f ca="1">SUM($B$2:B1590)/A1590</f>
        <v>108.69557051580209</v>
      </c>
      <c r="E1590">
        <v>1588</v>
      </c>
      <c r="F1590" s="11">
        <f t="shared" si="99"/>
        <v>0</v>
      </c>
      <c r="G1590">
        <f ca="1">SUM($F$2:F1590)/E1590</f>
        <v>110.62732273022327</v>
      </c>
      <c r="I1590">
        <v>1588</v>
      </c>
      <c r="J1590">
        <f t="shared" si="100"/>
        <v>0</v>
      </c>
      <c r="K1590">
        <f ca="1">SUM($J$2:J1590)/I1590</f>
        <v>108.69557051580209</v>
      </c>
      <c r="M1590">
        <v>1588</v>
      </c>
      <c r="N1590">
        <f t="shared" si="101"/>
        <v>0</v>
      </c>
      <c r="O1590">
        <f ca="1">SUM($N$2:N1590)/M1590</f>
        <v>110.62732273022327</v>
      </c>
    </row>
    <row r="1591" spans="1:15" x14ac:dyDescent="0.2">
      <c r="A1591">
        <v>1589</v>
      </c>
      <c r="B1591" s="11">
        <f t="shared" si="98"/>
        <v>0</v>
      </c>
      <c r="C1591">
        <f ca="1">SUM($B$2:B1591)/A1591</f>
        <v>108.62716549974432</v>
      </c>
      <c r="E1591">
        <v>1589</v>
      </c>
      <c r="F1591" s="11">
        <f t="shared" si="99"/>
        <v>0</v>
      </c>
      <c r="G1591">
        <f ca="1">SUM($F$2:F1591)/E1591</f>
        <v>110.55770201107272</v>
      </c>
      <c r="I1591">
        <v>1589</v>
      </c>
      <c r="J1591">
        <f t="shared" si="100"/>
        <v>0</v>
      </c>
      <c r="K1591">
        <f ca="1">SUM($J$2:J1591)/I1591</f>
        <v>108.62716549974432</v>
      </c>
      <c r="M1591">
        <v>1589</v>
      </c>
      <c r="N1591">
        <f t="shared" si="101"/>
        <v>0</v>
      </c>
      <c r="O1591">
        <f ca="1">SUM($N$2:N1591)/M1591</f>
        <v>110.55770201107272</v>
      </c>
    </row>
    <row r="1592" spans="1:15" x14ac:dyDescent="0.2">
      <c r="A1592">
        <v>1590</v>
      </c>
      <c r="B1592" s="11">
        <f t="shared" si="98"/>
        <v>0</v>
      </c>
      <c r="C1592">
        <f ca="1">SUM($B$2:B1592)/A1592</f>
        <v>108.5588465277319</v>
      </c>
      <c r="E1592">
        <v>1590</v>
      </c>
      <c r="F1592" s="11">
        <f t="shared" si="99"/>
        <v>0</v>
      </c>
      <c r="G1592">
        <f ca="1">SUM($F$2:F1592)/E1592</f>
        <v>110.4881688651538</v>
      </c>
      <c r="I1592">
        <v>1590</v>
      </c>
      <c r="J1592">
        <f t="shared" si="100"/>
        <v>0</v>
      </c>
      <c r="K1592">
        <f ca="1">SUM($J$2:J1592)/I1592</f>
        <v>108.5588465277319</v>
      </c>
      <c r="M1592">
        <v>1590</v>
      </c>
      <c r="N1592">
        <f t="shared" si="101"/>
        <v>0</v>
      </c>
      <c r="O1592">
        <f ca="1">SUM($N$2:N1592)/M1592</f>
        <v>110.4881688651538</v>
      </c>
    </row>
    <row r="1593" spans="1:15" x14ac:dyDescent="0.2">
      <c r="A1593">
        <v>1591</v>
      </c>
      <c r="B1593" s="11">
        <f t="shared" si="98"/>
        <v>0</v>
      </c>
      <c r="C1593">
        <f ca="1">SUM($B$2:B1593)/A1593</f>
        <v>108.49061343751963</v>
      </c>
      <c r="E1593">
        <v>1591</v>
      </c>
      <c r="F1593" s="11">
        <f t="shared" si="99"/>
        <v>0</v>
      </c>
      <c r="G1593">
        <f ca="1">SUM($F$2:F1593)/E1593</f>
        <v>110.41872312733787</v>
      </c>
      <c r="I1593">
        <v>1591</v>
      </c>
      <c r="J1593">
        <f t="shared" si="100"/>
        <v>0</v>
      </c>
      <c r="K1593">
        <f ca="1">SUM($J$2:J1593)/I1593</f>
        <v>108.49061343751963</v>
      </c>
      <c r="M1593">
        <v>1591</v>
      </c>
      <c r="N1593">
        <f t="shared" si="101"/>
        <v>0</v>
      </c>
      <c r="O1593">
        <f ca="1">SUM($N$2:N1593)/M1593</f>
        <v>110.41872312733787</v>
      </c>
    </row>
    <row r="1594" spans="1:15" x14ac:dyDescent="0.2">
      <c r="A1594">
        <v>1592</v>
      </c>
      <c r="B1594" s="11">
        <f t="shared" si="98"/>
        <v>0</v>
      </c>
      <c r="C1594">
        <f ca="1">SUM($B$2:B1594)/A1594</f>
        <v>108.42246606726992</v>
      </c>
      <c r="E1594">
        <v>1592</v>
      </c>
      <c r="F1594" s="11">
        <f t="shared" si="99"/>
        <v>0</v>
      </c>
      <c r="G1594">
        <f ca="1">SUM($F$2:F1594)/E1594</f>
        <v>110.34936463291115</v>
      </c>
      <c r="I1594">
        <v>1592</v>
      </c>
      <c r="J1594">
        <f t="shared" si="100"/>
        <v>0</v>
      </c>
      <c r="K1594">
        <f ca="1">SUM($J$2:J1594)/I1594</f>
        <v>108.42246606726992</v>
      </c>
      <c r="M1594">
        <v>1592</v>
      </c>
      <c r="N1594">
        <f t="shared" si="101"/>
        <v>0</v>
      </c>
      <c r="O1594">
        <f ca="1">SUM($N$2:N1594)/M1594</f>
        <v>110.34936463291115</v>
      </c>
    </row>
    <row r="1595" spans="1:15" x14ac:dyDescent="0.2">
      <c r="A1595">
        <v>1593</v>
      </c>
      <c r="B1595" s="11">
        <f t="shared" si="98"/>
        <v>0</v>
      </c>
      <c r="C1595">
        <f ca="1">SUM($B$2:B1595)/A1595</f>
        <v>108.35440425555161</v>
      </c>
      <c r="E1595">
        <v>1593</v>
      </c>
      <c r="F1595" s="11">
        <f t="shared" si="99"/>
        <v>0</v>
      </c>
      <c r="G1595">
        <f ca="1">SUM($F$2:F1595)/E1595</f>
        <v>110.28009321757348</v>
      </c>
      <c r="I1595">
        <v>1593</v>
      </c>
      <c r="J1595">
        <f t="shared" si="100"/>
        <v>0</v>
      </c>
      <c r="K1595">
        <f ca="1">SUM($J$2:J1595)/I1595</f>
        <v>108.35440425555161</v>
      </c>
      <c r="M1595">
        <v>1593</v>
      </c>
      <c r="N1595">
        <f t="shared" si="101"/>
        <v>0</v>
      </c>
      <c r="O1595">
        <f ca="1">SUM($N$2:N1595)/M1595</f>
        <v>110.28009321757348</v>
      </c>
    </row>
    <row r="1596" spans="1:15" x14ac:dyDescent="0.2">
      <c r="A1596">
        <v>1594</v>
      </c>
      <c r="B1596" s="11">
        <f t="shared" si="98"/>
        <v>0</v>
      </c>
      <c r="C1596">
        <f ca="1">SUM($B$2:B1596)/A1596</f>
        <v>108.28642784133859</v>
      </c>
      <c r="E1596">
        <v>1594</v>
      </c>
      <c r="F1596" s="11">
        <f t="shared" si="99"/>
        <v>0</v>
      </c>
      <c r="G1596">
        <f ca="1">SUM($F$2:F1596)/E1596</f>
        <v>110.21090871743698</v>
      </c>
      <c r="I1596">
        <v>1594</v>
      </c>
      <c r="J1596">
        <f t="shared" si="100"/>
        <v>0</v>
      </c>
      <c r="K1596">
        <f ca="1">SUM($J$2:J1596)/I1596</f>
        <v>108.28642784133859</v>
      </c>
      <c r="M1596">
        <v>1594</v>
      </c>
      <c r="N1596">
        <f t="shared" si="101"/>
        <v>0</v>
      </c>
      <c r="O1596">
        <f ca="1">SUM($N$2:N1596)/M1596</f>
        <v>110.21090871743698</v>
      </c>
    </row>
    <row r="1597" spans="1:15" x14ac:dyDescent="0.2">
      <c r="A1597">
        <v>1595</v>
      </c>
      <c r="B1597" s="11">
        <f t="shared" si="98"/>
        <v>0</v>
      </c>
      <c r="C1597">
        <f ca="1">SUM($B$2:B1597)/A1597</f>
        <v>108.2185366640086</v>
      </c>
      <c r="E1597">
        <v>1595</v>
      </c>
      <c r="F1597" s="11">
        <f t="shared" si="99"/>
        <v>0</v>
      </c>
      <c r="G1597">
        <f ca="1">SUM($F$2:F1597)/E1597</f>
        <v>110.14181096902479</v>
      </c>
      <c r="I1597">
        <v>1595</v>
      </c>
      <c r="J1597">
        <f t="shared" si="100"/>
        <v>0</v>
      </c>
      <c r="K1597">
        <f ca="1">SUM($J$2:J1597)/I1597</f>
        <v>108.2185366640086</v>
      </c>
      <c r="M1597">
        <v>1595</v>
      </c>
      <c r="N1597">
        <f t="shared" si="101"/>
        <v>0</v>
      </c>
      <c r="O1597">
        <f ca="1">SUM($N$2:N1597)/M1597</f>
        <v>110.14181096902479</v>
      </c>
    </row>
    <row r="1598" spans="1:15" x14ac:dyDescent="0.2">
      <c r="A1598">
        <v>1596</v>
      </c>
      <c r="B1598" s="11">
        <f t="shared" si="98"/>
        <v>0</v>
      </c>
      <c r="C1598">
        <f ca="1">SUM($B$2:B1598)/A1598</f>
        <v>108.15073056334192</v>
      </c>
      <c r="E1598">
        <v>1596</v>
      </c>
      <c r="F1598" s="11">
        <f t="shared" si="99"/>
        <v>0</v>
      </c>
      <c r="G1598">
        <f ca="1">SUM($F$2:F1598)/E1598</f>
        <v>110.07279980926977</v>
      </c>
      <c r="I1598">
        <v>1596</v>
      </c>
      <c r="J1598">
        <f t="shared" si="100"/>
        <v>0</v>
      </c>
      <c r="K1598">
        <f ca="1">SUM($J$2:J1598)/I1598</f>
        <v>108.15073056334192</v>
      </c>
      <c r="M1598">
        <v>1596</v>
      </c>
      <c r="N1598">
        <f t="shared" si="101"/>
        <v>0</v>
      </c>
      <c r="O1598">
        <f ca="1">SUM($N$2:N1598)/M1598</f>
        <v>110.07279980926977</v>
      </c>
    </row>
    <row r="1599" spans="1:15" x14ac:dyDescent="0.2">
      <c r="A1599">
        <v>1597</v>
      </c>
      <c r="B1599" s="11">
        <f t="shared" si="98"/>
        <v>0</v>
      </c>
      <c r="C1599">
        <f ca="1">SUM($B$2:B1599)/A1599</f>
        <v>108.08300937952018</v>
      </c>
      <c r="E1599">
        <v>1597</v>
      </c>
      <c r="F1599" s="11">
        <f t="shared" si="99"/>
        <v>0</v>
      </c>
      <c r="G1599">
        <f ca="1">SUM($F$2:F1599)/E1599</f>
        <v>110.00387507551318</v>
      </c>
      <c r="I1599">
        <v>1597</v>
      </c>
      <c r="J1599">
        <f t="shared" si="100"/>
        <v>0</v>
      </c>
      <c r="K1599">
        <f ca="1">SUM($J$2:J1599)/I1599</f>
        <v>108.08300937952018</v>
      </c>
      <c r="M1599">
        <v>1597</v>
      </c>
      <c r="N1599">
        <f t="shared" si="101"/>
        <v>0</v>
      </c>
      <c r="O1599">
        <f ca="1">SUM($N$2:N1599)/M1599</f>
        <v>110.00387507551318</v>
      </c>
    </row>
    <row r="1600" spans="1:15" x14ac:dyDescent="0.2">
      <c r="A1600">
        <v>1598</v>
      </c>
      <c r="B1600" s="11">
        <f t="shared" si="98"/>
        <v>0</v>
      </c>
      <c r="C1600">
        <f ca="1">SUM($B$2:B1600)/A1600</f>
        <v>108.01537295312498</v>
      </c>
      <c r="E1600">
        <v>1598</v>
      </c>
      <c r="F1600" s="11">
        <f t="shared" si="99"/>
        <v>0</v>
      </c>
      <c r="G1600">
        <f ca="1">SUM($F$2:F1600)/E1600</f>
        <v>109.93503660550347</v>
      </c>
      <c r="I1600">
        <v>1598</v>
      </c>
      <c r="J1600">
        <f t="shared" si="100"/>
        <v>0</v>
      </c>
      <c r="K1600">
        <f ca="1">SUM($J$2:J1600)/I1600</f>
        <v>108.01537295312498</v>
      </c>
      <c r="M1600">
        <v>1598</v>
      </c>
      <c r="N1600">
        <f t="shared" si="101"/>
        <v>0</v>
      </c>
      <c r="O1600">
        <f ca="1">SUM($N$2:N1600)/M1600</f>
        <v>109.93503660550347</v>
      </c>
    </row>
    <row r="1601" spans="1:15" x14ac:dyDescent="0.2">
      <c r="A1601">
        <v>1599</v>
      </c>
      <c r="B1601" s="11">
        <f t="shared" si="98"/>
        <v>0</v>
      </c>
      <c r="C1601">
        <f ca="1">SUM($B$2:B1601)/A1601</f>
        <v>107.94782112513678</v>
      </c>
      <c r="E1601">
        <v>1599</v>
      </c>
      <c r="F1601" s="11">
        <f t="shared" si="99"/>
        <v>0</v>
      </c>
      <c r="G1601">
        <f ca="1">SUM($F$2:F1601)/E1601</f>
        <v>109.86628423739496</v>
      </c>
      <c r="I1601">
        <v>1599</v>
      </c>
      <c r="J1601">
        <f t="shared" si="100"/>
        <v>0</v>
      </c>
      <c r="K1601">
        <f ca="1">SUM($J$2:J1601)/I1601</f>
        <v>107.94782112513678</v>
      </c>
      <c r="M1601">
        <v>1599</v>
      </c>
      <c r="N1601">
        <f t="shared" si="101"/>
        <v>0</v>
      </c>
      <c r="O1601">
        <f ca="1">SUM($N$2:N1601)/M1601</f>
        <v>109.86628423739496</v>
      </c>
    </row>
    <row r="1602" spans="1:15" x14ac:dyDescent="0.2">
      <c r="A1602">
        <v>1600</v>
      </c>
      <c r="B1602" s="11">
        <f t="shared" si="98"/>
        <v>0</v>
      </c>
      <c r="C1602">
        <f ca="1">SUM($B$2:B1602)/A1602</f>
        <v>107.88035373693357</v>
      </c>
      <c r="E1602">
        <v>1600</v>
      </c>
      <c r="F1602" s="11">
        <f t="shared" si="99"/>
        <v>0</v>
      </c>
      <c r="G1602">
        <f ca="1">SUM($F$2:F1602)/E1602</f>
        <v>109.79761780974658</v>
      </c>
      <c r="I1602">
        <v>1600</v>
      </c>
      <c r="J1602">
        <f t="shared" si="100"/>
        <v>0</v>
      </c>
      <c r="K1602">
        <f ca="1">SUM($J$2:J1602)/I1602</f>
        <v>107.88035373693357</v>
      </c>
      <c r="M1602">
        <v>1600</v>
      </c>
      <c r="N1602">
        <f t="shared" si="101"/>
        <v>0</v>
      </c>
      <c r="O1602">
        <f ca="1">SUM($N$2:N1602)/M1602</f>
        <v>109.79761780974658</v>
      </c>
    </row>
    <row r="1603" spans="1:15" x14ac:dyDescent="0.2">
      <c r="A1603">
        <v>1601</v>
      </c>
      <c r="B1603" s="11">
        <f t="shared" ref="B1603:B1666" si="102">IF(ARCap-IF((A1603-IF(A1603/180&gt;1,ROUNDDOWN(A1603/180,0)*180,0))/30&lt;=1,IF(200*15*BaseSpeed/60*(YellowConnects+WhiteMHConnects+WhiteOHConnects+HoJConnects+WindfuryConnects+SSConnects+IronfoeConnects)*(A1603-180*ROUNDDOWN(A1603/180,0))&gt;1200,1200,200*15*BaseSpeed/60*(YellowConnects+WhiteMHConnects+WhiteOHConnects+HoJConnects+WindfuryConnects+SSConnects+IronfoeConnects)*(A1603-180*ROUNDDOWN(A1603/180,0))),0)&lt;0,ARCap,IF((A1603-IF(A1603/180&gt;1,ROUNDDOWN(A1602/180,0)*180,0))/30&lt;=1,IF(200*15*BaseSpeed/60*(YellowConnects+WhiteMHConnects+WhiteOHConnects+HoJConnects+WindfuryConnects+SSConnects+IronfoeConnects)*(A1603-180*ROUNDDOWN(A1603/180,0))&gt;1200,1200,200*15*BaseSpeed/60*(YellowConnects+WhiteMHConnects+WhiteOHConnects+HoJConnects+WindfuryConnects+SSConnects+IronfoeConnects)*(A1603-180*ROUNDDOWN(A1603/180,0))),0))</f>
        <v>0</v>
      </c>
      <c r="C1603">
        <f ca="1">SUM($B$2:B1603)/A1603</f>
        <v>107.81297063028964</v>
      </c>
      <c r="E1603">
        <v>1601</v>
      </c>
      <c r="F1603" s="11">
        <f t="shared" ref="F1603:F1666" si="103">IF(ARCap-IF((A1603-IF(A1603/180&gt;1,ROUNDDOWN(A1603/180,0)*180,0))/30&lt;=1,IF(200*15*BaseSpeed/60*(YellowConnects20+WhiteMHConnects20+WhiteOHConnects20+HoJConnects20+WindfuryConnects20+SSConnects20+IronfoeConnects20)*(A1603-180*ROUNDDOWN(A1603/180,0))&gt;1200,1200,200*15*BaseSpeed/60*(YellowConnects20+WhiteMHConnects20+WhiteOHConnects20+HoJConnects20+WindfuryConnects20+SSConnects20+IronfoeConnects20)*(A1603-180*ROUNDDOWN(A1603/180,0))),0)&lt;0,ARCap,IF((A1603-IF(A1603/180&gt;1,ROUNDDOWN(A1603/180,0)*180,0))/30&lt;=1,IF(200*15*BaseSpeed/60*(YellowConnects20+WhiteMHConnects20+WhiteOHConnects20+HoJConnects20+WindfuryConnects20+SSConnects20+IronfoeConnects20)*(A1603-180*ROUNDDOWN(A1603/180,0))&gt;1200,1200,200*15*BaseSpeed/60*(YellowConnects20+WhiteMHConnects20+WhiteOHConnects20+HoJConnects20+WindfuryConnects20+SSConnects20+IronfoeConnects20)*(A1603-180*ROUNDDOWN(A1603/180,0))),0))</f>
        <v>0</v>
      </c>
      <c r="G1603">
        <f ca="1">SUM($F$2:F1603)/E1603</f>
        <v>109.72903716152064</v>
      </c>
      <c r="I1603">
        <v>1601</v>
      </c>
      <c r="J1603">
        <f t="shared" ref="J1603:J1666" si="104">IF(ARCap-(B1603+BRE)&lt;0,ARCap,B1603+BRE)</f>
        <v>0</v>
      </c>
      <c r="K1603">
        <f ca="1">SUM($J$2:J1603)/I1603</f>
        <v>107.81297063028964</v>
      </c>
      <c r="M1603">
        <v>1601</v>
      </c>
      <c r="N1603">
        <f t="shared" ref="N1603:N1666" si="105">IF(ARCap-(F1603+BREArmorReduction20)&lt;0,ARCap,F1603+BREArmorReduction20)</f>
        <v>0</v>
      </c>
      <c r="O1603">
        <f ca="1">SUM($N$2:N1603)/M1603</f>
        <v>109.72903716152064</v>
      </c>
    </row>
    <row r="1604" spans="1:15" x14ac:dyDescent="0.2">
      <c r="A1604">
        <v>1602</v>
      </c>
      <c r="B1604" s="11">
        <f t="shared" si="102"/>
        <v>0</v>
      </c>
      <c r="C1604">
        <f ca="1">SUM($B$2:B1604)/A1604</f>
        <v>107.74567164737435</v>
      </c>
      <c r="E1604">
        <v>1602</v>
      </c>
      <c r="F1604" s="11">
        <f t="shared" si="103"/>
        <v>0</v>
      </c>
      <c r="G1604">
        <f ca="1">SUM($F$2:F1604)/E1604</f>
        <v>109.66054213208149</v>
      </c>
      <c r="I1604">
        <v>1602</v>
      </c>
      <c r="J1604">
        <f t="shared" si="104"/>
        <v>0</v>
      </c>
      <c r="K1604">
        <f ca="1">SUM($J$2:J1604)/I1604</f>
        <v>107.74567164737435</v>
      </c>
      <c r="M1604">
        <v>1602</v>
      </c>
      <c r="N1604">
        <f t="shared" si="105"/>
        <v>0</v>
      </c>
      <c r="O1604">
        <f ca="1">SUM($N$2:N1604)/M1604</f>
        <v>109.66054213208149</v>
      </c>
    </row>
    <row r="1605" spans="1:15" x14ac:dyDescent="0.2">
      <c r="A1605">
        <v>1603</v>
      </c>
      <c r="B1605" s="11">
        <f t="shared" si="102"/>
        <v>0</v>
      </c>
      <c r="C1605">
        <f ca="1">SUM($B$2:B1605)/A1605</f>
        <v>107.67845663075092</v>
      </c>
      <c r="E1605">
        <v>1603</v>
      </c>
      <c r="F1605" s="11">
        <f t="shared" si="103"/>
        <v>0</v>
      </c>
      <c r="G1605">
        <f ca="1">SUM($F$2:F1605)/E1605</f>
        <v>109.59213256119435</v>
      </c>
      <c r="I1605">
        <v>1603</v>
      </c>
      <c r="J1605">
        <f t="shared" si="104"/>
        <v>0</v>
      </c>
      <c r="K1605">
        <f ca="1">SUM($J$2:J1605)/I1605</f>
        <v>107.67845663075092</v>
      </c>
      <c r="M1605">
        <v>1603</v>
      </c>
      <c r="N1605">
        <f t="shared" si="105"/>
        <v>0</v>
      </c>
      <c r="O1605">
        <f ca="1">SUM($N$2:N1605)/M1605</f>
        <v>109.59213256119435</v>
      </c>
    </row>
    <row r="1606" spans="1:15" x14ac:dyDescent="0.2">
      <c r="A1606">
        <v>1604</v>
      </c>
      <c r="B1606" s="11">
        <f t="shared" si="102"/>
        <v>0</v>
      </c>
      <c r="C1606">
        <f ca="1">SUM($B$2:B1606)/A1606</f>
        <v>107.61132542337513</v>
      </c>
      <c r="E1606">
        <v>1604</v>
      </c>
      <c r="F1606" s="11">
        <f t="shared" si="103"/>
        <v>0</v>
      </c>
      <c r="G1606">
        <f ca="1">SUM($F$2:F1606)/E1606</f>
        <v>109.52380828902403</v>
      </c>
      <c r="I1606">
        <v>1604</v>
      </c>
      <c r="J1606">
        <f t="shared" si="104"/>
        <v>0</v>
      </c>
      <c r="K1606">
        <f ca="1">SUM($J$2:J1606)/I1606</f>
        <v>107.61132542337513</v>
      </c>
      <c r="M1606">
        <v>1604</v>
      </c>
      <c r="N1606">
        <f t="shared" si="105"/>
        <v>0</v>
      </c>
      <c r="O1606">
        <f ca="1">SUM($N$2:N1606)/M1606</f>
        <v>109.52380828902403</v>
      </c>
    </row>
    <row r="1607" spans="1:15" x14ac:dyDescent="0.2">
      <c r="A1607">
        <v>1605</v>
      </c>
      <c r="B1607" s="11">
        <f t="shared" si="102"/>
        <v>0</v>
      </c>
      <c r="C1607">
        <f ca="1">SUM($B$2:B1607)/A1607</f>
        <v>107.54427786859422</v>
      </c>
      <c r="E1607">
        <v>1605</v>
      </c>
      <c r="F1607" s="11">
        <f t="shared" si="103"/>
        <v>0</v>
      </c>
      <c r="G1607">
        <f ca="1">SUM($F$2:F1607)/E1607</f>
        <v>109.45556915613368</v>
      </c>
      <c r="I1607">
        <v>1605</v>
      </c>
      <c r="J1607">
        <f t="shared" si="104"/>
        <v>0</v>
      </c>
      <c r="K1607">
        <f ca="1">SUM($J$2:J1607)/I1607</f>
        <v>107.54427786859422</v>
      </c>
      <c r="M1607">
        <v>1605</v>
      </c>
      <c r="N1607">
        <f t="shared" si="105"/>
        <v>0</v>
      </c>
      <c r="O1607">
        <f ca="1">SUM($N$2:N1607)/M1607</f>
        <v>109.45556915613368</v>
      </c>
    </row>
    <row r="1608" spans="1:15" x14ac:dyDescent="0.2">
      <c r="A1608">
        <v>1606</v>
      </c>
      <c r="B1608" s="11">
        <f t="shared" si="102"/>
        <v>0</v>
      </c>
      <c r="C1608">
        <f ca="1">SUM($B$2:B1608)/A1608</f>
        <v>107.47731381014553</v>
      </c>
      <c r="E1608">
        <v>1606</v>
      </c>
      <c r="F1608" s="11">
        <f t="shared" si="103"/>
        <v>0</v>
      </c>
      <c r="G1608">
        <f ca="1">SUM($F$2:F1608)/E1608</f>
        <v>109.38741500348353</v>
      </c>
      <c r="I1608">
        <v>1606</v>
      </c>
      <c r="J1608">
        <f t="shared" si="104"/>
        <v>0</v>
      </c>
      <c r="K1608">
        <f ca="1">SUM($J$2:J1608)/I1608</f>
        <v>107.47731381014553</v>
      </c>
      <c r="M1608">
        <v>1606</v>
      </c>
      <c r="N1608">
        <f t="shared" si="105"/>
        <v>0</v>
      </c>
      <c r="O1608">
        <f ca="1">SUM($N$2:N1608)/M1608</f>
        <v>109.38741500348353</v>
      </c>
    </row>
    <row r="1609" spans="1:15" x14ac:dyDescent="0.2">
      <c r="A1609">
        <v>1607</v>
      </c>
      <c r="B1609" s="11">
        <f t="shared" si="102"/>
        <v>0</v>
      </c>
      <c r="C1609">
        <f ca="1">SUM($B$2:B1609)/A1609</f>
        <v>107.4104330921554</v>
      </c>
      <c r="E1609">
        <v>1607</v>
      </c>
      <c r="F1609" s="11">
        <f t="shared" si="103"/>
        <v>0</v>
      </c>
      <c r="G1609">
        <f ca="1">SUM($F$2:F1609)/E1609</f>
        <v>109.31934567242971</v>
      </c>
      <c r="I1609">
        <v>1607</v>
      </c>
      <c r="J1609">
        <f t="shared" si="104"/>
        <v>0</v>
      </c>
      <c r="K1609">
        <f ca="1">SUM($J$2:J1609)/I1609</f>
        <v>107.4104330921554</v>
      </c>
      <c r="M1609">
        <v>1607</v>
      </c>
      <c r="N1609">
        <f t="shared" si="105"/>
        <v>0</v>
      </c>
      <c r="O1609">
        <f ca="1">SUM($N$2:N1609)/M1609</f>
        <v>109.31934567242971</v>
      </c>
    </row>
    <row r="1610" spans="1:15" x14ac:dyDescent="0.2">
      <c r="A1610">
        <v>1608</v>
      </c>
      <c r="B1610" s="11">
        <f t="shared" si="102"/>
        <v>0</v>
      </c>
      <c r="C1610">
        <f ca="1">SUM($B$2:B1610)/A1610</f>
        <v>107.34363555913788</v>
      </c>
      <c r="E1610">
        <v>1608</v>
      </c>
      <c r="F1610" s="11">
        <f t="shared" si="103"/>
        <v>0</v>
      </c>
      <c r="G1610">
        <f ca="1">SUM($F$2:F1610)/E1610</f>
        <v>109.25136100472298</v>
      </c>
      <c r="I1610">
        <v>1608</v>
      </c>
      <c r="J1610">
        <f t="shared" si="104"/>
        <v>0</v>
      </c>
      <c r="K1610">
        <f ca="1">SUM($J$2:J1610)/I1610</f>
        <v>107.34363555913788</v>
      </c>
      <c r="M1610">
        <v>1608</v>
      </c>
      <c r="N1610">
        <f t="shared" si="105"/>
        <v>0</v>
      </c>
      <c r="O1610">
        <f ca="1">SUM($N$2:N1610)/M1610</f>
        <v>109.25136100472298</v>
      </c>
    </row>
    <row r="1611" spans="1:15" x14ac:dyDescent="0.2">
      <c r="A1611">
        <v>1609</v>
      </c>
      <c r="B1611" s="11">
        <f t="shared" si="102"/>
        <v>0</v>
      </c>
      <c r="C1611">
        <f ca="1">SUM($B$2:B1611)/A1611</f>
        <v>107.27692105599361</v>
      </c>
      <c r="E1611">
        <v>1609</v>
      </c>
      <c r="F1611" s="11">
        <f t="shared" si="103"/>
        <v>0</v>
      </c>
      <c r="G1611">
        <f ca="1">SUM($F$2:F1611)/E1611</f>
        <v>109.18346084250749</v>
      </c>
      <c r="I1611">
        <v>1609</v>
      </c>
      <c r="J1611">
        <f t="shared" si="104"/>
        <v>0</v>
      </c>
      <c r="K1611">
        <f ca="1">SUM($J$2:J1611)/I1611</f>
        <v>107.27692105599361</v>
      </c>
      <c r="M1611">
        <v>1609</v>
      </c>
      <c r="N1611">
        <f t="shared" si="105"/>
        <v>0</v>
      </c>
      <c r="O1611">
        <f ca="1">SUM($N$2:N1611)/M1611</f>
        <v>109.18346084250749</v>
      </c>
    </row>
    <row r="1612" spans="1:15" x14ac:dyDescent="0.2">
      <c r="A1612">
        <v>1610</v>
      </c>
      <c r="B1612" s="11">
        <f t="shared" si="102"/>
        <v>0</v>
      </c>
      <c r="C1612">
        <f ca="1">SUM($B$2:B1612)/A1612</f>
        <v>107.21028942800852</v>
      </c>
      <c r="E1612">
        <v>1610</v>
      </c>
      <c r="F1612" s="11">
        <f t="shared" si="103"/>
        <v>0</v>
      </c>
      <c r="G1612">
        <f ca="1">SUM($F$2:F1612)/E1612</f>
        <v>109.11564502831959</v>
      </c>
      <c r="I1612">
        <v>1610</v>
      </c>
      <c r="J1612">
        <f t="shared" si="104"/>
        <v>0</v>
      </c>
      <c r="K1612">
        <f ca="1">SUM($J$2:J1612)/I1612</f>
        <v>107.21028942800852</v>
      </c>
      <c r="M1612">
        <v>1610</v>
      </c>
      <c r="N1612">
        <f t="shared" si="105"/>
        <v>0</v>
      </c>
      <c r="O1612">
        <f ca="1">SUM($N$2:N1612)/M1612</f>
        <v>109.11564502831959</v>
      </c>
    </row>
    <row r="1613" spans="1:15" x14ac:dyDescent="0.2">
      <c r="A1613">
        <v>1611</v>
      </c>
      <c r="B1613" s="11">
        <f t="shared" si="102"/>
        <v>0</v>
      </c>
      <c r="C1613">
        <f ca="1">SUM($B$2:B1613)/A1613</f>
        <v>107.14374052085272</v>
      </c>
      <c r="E1613">
        <v>1611</v>
      </c>
      <c r="F1613" s="11">
        <f t="shared" si="103"/>
        <v>0</v>
      </c>
      <c r="G1613">
        <f ca="1">SUM($F$2:F1613)/E1613</f>
        <v>109.04791340508662</v>
      </c>
      <c r="I1613">
        <v>1611</v>
      </c>
      <c r="J1613">
        <f t="shared" si="104"/>
        <v>0</v>
      </c>
      <c r="K1613">
        <f ca="1">SUM($J$2:J1613)/I1613</f>
        <v>107.14374052085272</v>
      </c>
      <c r="M1613">
        <v>1611</v>
      </c>
      <c r="N1613">
        <f t="shared" si="105"/>
        <v>0</v>
      </c>
      <c r="O1613">
        <f ca="1">SUM($N$2:N1613)/M1613</f>
        <v>109.04791340508662</v>
      </c>
    </row>
    <row r="1614" spans="1:15" x14ac:dyDescent="0.2">
      <c r="A1614">
        <v>1612</v>
      </c>
      <c r="B1614" s="11">
        <f t="shared" si="102"/>
        <v>0</v>
      </c>
      <c r="C1614">
        <f ca="1">SUM($B$2:B1614)/A1614</f>
        <v>107.07727418057924</v>
      </c>
      <c r="E1614">
        <v>1612</v>
      </c>
      <c r="F1614" s="11">
        <f t="shared" si="103"/>
        <v>0</v>
      </c>
      <c r="G1614">
        <f ca="1">SUM($F$2:F1614)/E1614</f>
        <v>108.98026581612565</v>
      </c>
      <c r="I1614">
        <v>1612</v>
      </c>
      <c r="J1614">
        <f t="shared" si="104"/>
        <v>0</v>
      </c>
      <c r="K1614">
        <f ca="1">SUM($J$2:J1614)/I1614</f>
        <v>107.07727418057924</v>
      </c>
      <c r="M1614">
        <v>1612</v>
      </c>
      <c r="N1614">
        <f t="shared" si="105"/>
        <v>0</v>
      </c>
      <c r="O1614">
        <f ca="1">SUM($N$2:N1614)/M1614</f>
        <v>108.98026581612565</v>
      </c>
    </row>
    <row r="1615" spans="1:15" x14ac:dyDescent="0.2">
      <c r="A1615">
        <v>1613</v>
      </c>
      <c r="B1615" s="11">
        <f t="shared" si="102"/>
        <v>0</v>
      </c>
      <c r="C1615">
        <f ca="1">SUM($B$2:B1615)/A1615</f>
        <v>107.01089025362289</v>
      </c>
      <c r="E1615">
        <v>1613</v>
      </c>
      <c r="F1615" s="11">
        <f t="shared" si="103"/>
        <v>0</v>
      </c>
      <c r="G1615">
        <f ca="1">SUM($F$2:F1615)/E1615</f>
        <v>108.9127021051423</v>
      </c>
      <c r="I1615">
        <v>1613</v>
      </c>
      <c r="J1615">
        <f t="shared" si="104"/>
        <v>0</v>
      </c>
      <c r="K1615">
        <f ca="1">SUM($J$2:J1615)/I1615</f>
        <v>107.01089025362289</v>
      </c>
      <c r="M1615">
        <v>1613</v>
      </c>
      <c r="N1615">
        <f t="shared" si="105"/>
        <v>0</v>
      </c>
      <c r="O1615">
        <f ca="1">SUM($N$2:N1615)/M1615</f>
        <v>108.9127021051423</v>
      </c>
    </row>
    <row r="1616" spans="1:15" x14ac:dyDescent="0.2">
      <c r="A1616">
        <v>1614</v>
      </c>
      <c r="B1616" s="11">
        <f t="shared" si="102"/>
        <v>0</v>
      </c>
      <c r="C1616">
        <f ca="1">SUM($B$2:B1616)/A1616</f>
        <v>106.94458858679909</v>
      </c>
      <c r="E1616">
        <v>1614</v>
      </c>
      <c r="F1616" s="11">
        <f t="shared" si="103"/>
        <v>0</v>
      </c>
      <c r="G1616">
        <f ca="1">SUM($F$2:F1616)/E1616</f>
        <v>108.84522211622958</v>
      </c>
      <c r="I1616">
        <v>1614</v>
      </c>
      <c r="J1616">
        <f t="shared" si="104"/>
        <v>0</v>
      </c>
      <c r="K1616">
        <f ca="1">SUM($J$2:J1616)/I1616</f>
        <v>106.94458858679909</v>
      </c>
      <c r="M1616">
        <v>1614</v>
      </c>
      <c r="N1616">
        <f t="shared" si="105"/>
        <v>0</v>
      </c>
      <c r="O1616">
        <f ca="1">SUM($N$2:N1616)/M1616</f>
        <v>108.84522211622958</v>
      </c>
    </row>
    <row r="1617" spans="1:15" x14ac:dyDescent="0.2">
      <c r="A1617">
        <v>1615</v>
      </c>
      <c r="B1617" s="11">
        <f t="shared" si="102"/>
        <v>0</v>
      </c>
      <c r="C1617">
        <f ca="1">SUM($B$2:B1617)/A1617</f>
        <v>106.87836902730261</v>
      </c>
      <c r="E1617">
        <v>1615</v>
      </c>
      <c r="F1617" s="11">
        <f t="shared" si="103"/>
        <v>0</v>
      </c>
      <c r="G1617">
        <f ca="1">SUM($F$2:F1617)/E1617</f>
        <v>108.77782569386659</v>
      </c>
      <c r="I1617">
        <v>1615</v>
      </c>
      <c r="J1617">
        <f t="shared" si="104"/>
        <v>0</v>
      </c>
      <c r="K1617">
        <f ca="1">SUM($J$2:J1617)/I1617</f>
        <v>106.87836902730261</v>
      </c>
      <c r="M1617">
        <v>1615</v>
      </c>
      <c r="N1617">
        <f t="shared" si="105"/>
        <v>0</v>
      </c>
      <c r="O1617">
        <f ca="1">SUM($N$2:N1617)/M1617</f>
        <v>108.77782569386659</v>
      </c>
    </row>
    <row r="1618" spans="1:15" x14ac:dyDescent="0.2">
      <c r="A1618">
        <v>1616</v>
      </c>
      <c r="B1618" s="11">
        <f t="shared" si="102"/>
        <v>0</v>
      </c>
      <c r="C1618">
        <f ca="1">SUM($B$2:B1618)/A1618</f>
        <v>106.8122314227065</v>
      </c>
      <c r="E1618">
        <v>1616</v>
      </c>
      <c r="F1618" s="11">
        <f t="shared" si="103"/>
        <v>0</v>
      </c>
      <c r="G1618">
        <f ca="1">SUM($F$2:F1618)/E1618</f>
        <v>108.71051268291741</v>
      </c>
      <c r="I1618">
        <v>1616</v>
      </c>
      <c r="J1618">
        <f t="shared" si="104"/>
        <v>0</v>
      </c>
      <c r="K1618">
        <f ca="1">SUM($J$2:J1618)/I1618</f>
        <v>106.8122314227065</v>
      </c>
      <c r="M1618">
        <v>1616</v>
      </c>
      <c r="N1618">
        <f t="shared" si="105"/>
        <v>0</v>
      </c>
      <c r="O1618">
        <f ca="1">SUM($N$2:N1618)/M1618</f>
        <v>108.71051268291741</v>
      </c>
    </row>
    <row r="1619" spans="1:15" x14ac:dyDescent="0.2">
      <c r="A1619">
        <v>1617</v>
      </c>
      <c r="B1619" s="11">
        <f t="shared" si="102"/>
        <v>0</v>
      </c>
      <c r="C1619">
        <f ca="1">SUM($B$2:B1619)/A1619</f>
        <v>106.74617562096087</v>
      </c>
      <c r="E1619">
        <v>1617</v>
      </c>
      <c r="F1619" s="11">
        <f t="shared" si="103"/>
        <v>0</v>
      </c>
      <c r="G1619">
        <f ca="1">SUM($F$2:F1619)/E1619</f>
        <v>108.6432829286299</v>
      </c>
      <c r="I1619">
        <v>1617</v>
      </c>
      <c r="J1619">
        <f t="shared" si="104"/>
        <v>0</v>
      </c>
      <c r="K1619">
        <f ca="1">SUM($J$2:J1619)/I1619</f>
        <v>106.74617562096087</v>
      </c>
      <c r="M1619">
        <v>1617</v>
      </c>
      <c r="N1619">
        <f t="shared" si="105"/>
        <v>0</v>
      </c>
      <c r="O1619">
        <f ca="1">SUM($N$2:N1619)/M1619</f>
        <v>108.6432829286299</v>
      </c>
    </row>
    <row r="1620" spans="1:15" x14ac:dyDescent="0.2">
      <c r="A1620">
        <v>1618</v>
      </c>
      <c r="B1620" s="11">
        <f t="shared" si="102"/>
        <v>0</v>
      </c>
      <c r="C1620">
        <f ca="1">SUM($B$2:B1620)/A1620</f>
        <v>106.68020147039167</v>
      </c>
      <c r="E1620">
        <v>1618</v>
      </c>
      <c r="F1620" s="11">
        <f t="shared" si="103"/>
        <v>0</v>
      </c>
      <c r="G1620">
        <f ca="1">SUM($F$2:F1620)/E1620</f>
        <v>108.57613627663446</v>
      </c>
      <c r="I1620">
        <v>1618</v>
      </c>
      <c r="J1620">
        <f t="shared" si="104"/>
        <v>0</v>
      </c>
      <c r="K1620">
        <f ca="1">SUM($J$2:J1620)/I1620</f>
        <v>106.68020147039167</v>
      </c>
      <c r="M1620">
        <v>1618</v>
      </c>
      <c r="N1620">
        <f t="shared" si="105"/>
        <v>0</v>
      </c>
      <c r="O1620">
        <f ca="1">SUM($N$2:N1620)/M1620</f>
        <v>108.57613627663446</v>
      </c>
    </row>
    <row r="1621" spans="1:15" x14ac:dyDescent="0.2">
      <c r="A1621">
        <v>1619</v>
      </c>
      <c r="B1621" s="11">
        <f t="shared" si="102"/>
        <v>0</v>
      </c>
      <c r="C1621">
        <f ca="1">SUM($B$2:B1621)/A1621</f>
        <v>106.61430881969964</v>
      </c>
      <c r="E1621">
        <v>1619</v>
      </c>
      <c r="F1621" s="11">
        <f t="shared" si="103"/>
        <v>0</v>
      </c>
      <c r="G1621">
        <f ca="1">SUM($F$2:F1621)/E1621</f>
        <v>108.5090725729429</v>
      </c>
      <c r="I1621">
        <v>1619</v>
      </c>
      <c r="J1621">
        <f t="shared" si="104"/>
        <v>0</v>
      </c>
      <c r="K1621">
        <f ca="1">SUM($J$2:J1621)/I1621</f>
        <v>106.61430881969964</v>
      </c>
      <c r="M1621">
        <v>1619</v>
      </c>
      <c r="N1621">
        <f t="shared" si="105"/>
        <v>0</v>
      </c>
      <c r="O1621">
        <f ca="1">SUM($N$2:N1621)/M1621</f>
        <v>108.5090725729429</v>
      </c>
    </row>
    <row r="1622" spans="1:15" x14ac:dyDescent="0.2">
      <c r="A1622">
        <v>1620</v>
      </c>
      <c r="B1622" s="11">
        <f t="shared" ca="1" si="102"/>
        <v>0</v>
      </c>
      <c r="C1622">
        <f ca="1">SUM($B$2:B1622)/A1622</f>
        <v>106.54849751795909</v>
      </c>
      <c r="E1622">
        <v>1620</v>
      </c>
      <c r="F1622" s="11">
        <f t="shared" ca="1" si="103"/>
        <v>0</v>
      </c>
      <c r="G1622">
        <f ca="1">SUM($F$2:F1622)/E1622</f>
        <v>108.44209166394725</v>
      </c>
      <c r="I1622">
        <v>1620</v>
      </c>
      <c r="J1622">
        <f t="shared" ca="1" si="104"/>
        <v>0</v>
      </c>
      <c r="K1622">
        <f ca="1">SUM($J$2:J1622)/I1622</f>
        <v>106.54849751795909</v>
      </c>
      <c r="M1622">
        <v>1620</v>
      </c>
      <c r="N1622">
        <f t="shared" ca="1" si="105"/>
        <v>0</v>
      </c>
      <c r="O1622">
        <f ca="1">SUM($N$2:N1622)/M1622</f>
        <v>108.44209166394725</v>
      </c>
    </row>
    <row r="1623" spans="1:15" x14ac:dyDescent="0.2">
      <c r="A1623">
        <v>1621</v>
      </c>
      <c r="B1623" s="11">
        <f t="shared" ca="1" si="102"/>
        <v>118.58197021550885</v>
      </c>
      <c r="C1623">
        <f ca="1">SUM($B$2:B1623)/A1623</f>
        <v>106.555921005126</v>
      </c>
      <c r="E1623">
        <v>1621</v>
      </c>
      <c r="F1623" s="11">
        <f t="shared" ca="1" si="103"/>
        <v>142.35764995105063</v>
      </c>
      <c r="G1623">
        <f ca="1">SUM($F$2:F1623)/E1623</f>
        <v>108.4630142785599</v>
      </c>
      <c r="I1623">
        <v>1621</v>
      </c>
      <c r="J1623">
        <f t="shared" ca="1" si="104"/>
        <v>118.58197021550885</v>
      </c>
      <c r="K1623">
        <f ca="1">SUM($J$2:J1623)/I1623</f>
        <v>106.555921005126</v>
      </c>
      <c r="M1623">
        <v>1621</v>
      </c>
      <c r="N1623">
        <f t="shared" ca="1" si="105"/>
        <v>142.35764995105063</v>
      </c>
      <c r="O1623">
        <f ca="1">SUM($N$2:N1623)/M1623</f>
        <v>108.4630142785599</v>
      </c>
    </row>
    <row r="1624" spans="1:15" x14ac:dyDescent="0.2">
      <c r="A1624">
        <v>1622</v>
      </c>
      <c r="B1624" s="11">
        <f t="shared" ca="1" si="102"/>
        <v>237.16394043101769</v>
      </c>
      <c r="C1624">
        <f ca="1">SUM($B$2:B1624)/A1624</f>
        <v>106.63644382844652</v>
      </c>
      <c r="E1624">
        <v>1622</v>
      </c>
      <c r="F1624" s="11">
        <f t="shared" ca="1" si="103"/>
        <v>284.71529990210126</v>
      </c>
      <c r="G1624">
        <f ca="1">SUM($F$2:F1624)/E1624</f>
        <v>108.57167783319832</v>
      </c>
      <c r="I1624">
        <v>1622</v>
      </c>
      <c r="J1624">
        <f t="shared" ca="1" si="104"/>
        <v>237.16394043101769</v>
      </c>
      <c r="K1624">
        <f ca="1">SUM($J$2:J1624)/I1624</f>
        <v>106.63644382844652</v>
      </c>
      <c r="M1624">
        <v>1622</v>
      </c>
      <c r="N1624">
        <f t="shared" ca="1" si="105"/>
        <v>284.71529990210126</v>
      </c>
      <c r="O1624">
        <f ca="1">SUM($N$2:N1624)/M1624</f>
        <v>108.57167783319832</v>
      </c>
    </row>
    <row r="1625" spans="1:15" x14ac:dyDescent="0.2">
      <c r="A1625">
        <v>1623</v>
      </c>
      <c r="B1625" s="11">
        <f t="shared" ca="1" si="102"/>
        <v>355.74591064652657</v>
      </c>
      <c r="C1625">
        <f ca="1">SUM($B$2:B1625)/A1625</f>
        <v>106.78993086899987</v>
      </c>
      <c r="E1625">
        <v>1623</v>
      </c>
      <c r="F1625" s="11">
        <f t="shared" ca="1" si="103"/>
        <v>427.0729498531519</v>
      </c>
      <c r="G1625">
        <f ca="1">SUM($F$2:F1625)/E1625</f>
        <v>108.76792014497894</v>
      </c>
      <c r="I1625">
        <v>1623</v>
      </c>
      <c r="J1625">
        <f t="shared" ca="1" si="104"/>
        <v>355.74591064652657</v>
      </c>
      <c r="K1625">
        <f ca="1">SUM($J$2:J1625)/I1625</f>
        <v>106.78993086899987</v>
      </c>
      <c r="M1625">
        <v>1623</v>
      </c>
      <c r="N1625">
        <f t="shared" ca="1" si="105"/>
        <v>427.0729498531519</v>
      </c>
      <c r="O1625">
        <f ca="1">SUM($N$2:N1625)/M1625</f>
        <v>108.76792014497894</v>
      </c>
    </row>
    <row r="1626" spans="1:15" x14ac:dyDescent="0.2">
      <c r="A1626">
        <v>1624</v>
      </c>
      <c r="B1626" s="11">
        <f t="shared" ca="1" si="102"/>
        <v>474.32788086203539</v>
      </c>
      <c r="C1626">
        <f ca="1">SUM($B$2:B1626)/A1626</f>
        <v>107.01624734067046</v>
      </c>
      <c r="E1626">
        <v>1624</v>
      </c>
      <c r="F1626" s="11">
        <f t="shared" ca="1" si="103"/>
        <v>569.43059980420253</v>
      </c>
      <c r="G1626">
        <f ca="1">SUM($F$2:F1626)/E1626</f>
        <v>109.0515794304834</v>
      </c>
      <c r="I1626">
        <v>1624</v>
      </c>
      <c r="J1626">
        <f t="shared" ca="1" si="104"/>
        <v>474.32788086203539</v>
      </c>
      <c r="K1626">
        <f ca="1">SUM($J$2:J1626)/I1626</f>
        <v>107.01624734067046</v>
      </c>
      <c r="M1626">
        <v>1624</v>
      </c>
      <c r="N1626">
        <f t="shared" ca="1" si="105"/>
        <v>569.43059980420253</v>
      </c>
      <c r="O1626">
        <f ca="1">SUM($N$2:N1626)/M1626</f>
        <v>109.0515794304834</v>
      </c>
    </row>
    <row r="1627" spans="1:15" x14ac:dyDescent="0.2">
      <c r="A1627">
        <v>1625</v>
      </c>
      <c r="B1627" s="11">
        <f t="shared" ca="1" si="102"/>
        <v>592.9098510775442</v>
      </c>
      <c r="C1627">
        <f ca="1">SUM($B$2:B1627)/A1627</f>
        <v>107.31525878912392</v>
      </c>
      <c r="E1627">
        <v>1625</v>
      </c>
      <c r="F1627" s="11">
        <f t="shared" ca="1" si="103"/>
        <v>696</v>
      </c>
      <c r="G1627">
        <f ca="1">SUM($F$2:F1627)/E1627</f>
        <v>109.41277845852618</v>
      </c>
      <c r="I1627">
        <v>1625</v>
      </c>
      <c r="J1627">
        <f t="shared" ca="1" si="104"/>
        <v>592.9098510775442</v>
      </c>
      <c r="K1627">
        <f ca="1">SUM($J$2:J1627)/I1627</f>
        <v>107.31525878912392</v>
      </c>
      <c r="M1627">
        <v>1625</v>
      </c>
      <c r="N1627">
        <f t="shared" ca="1" si="105"/>
        <v>696</v>
      </c>
      <c r="O1627">
        <f ca="1">SUM($N$2:N1627)/M1627</f>
        <v>109.41277845852618</v>
      </c>
    </row>
    <row r="1628" spans="1:15" x14ac:dyDescent="0.2">
      <c r="A1628">
        <v>1626</v>
      </c>
      <c r="B1628" s="11">
        <f t="shared" ca="1" si="102"/>
        <v>696</v>
      </c>
      <c r="C1628">
        <f ca="1">SUM($B$2:B1628)/A1628</f>
        <v>107.67730352541597</v>
      </c>
      <c r="E1628">
        <v>1626</v>
      </c>
      <c r="F1628" s="11">
        <f t="shared" ca="1" si="103"/>
        <v>696</v>
      </c>
      <c r="G1628">
        <f ca="1">SUM($F$2:F1628)/E1628</f>
        <v>109.77353320732168</v>
      </c>
      <c r="I1628">
        <v>1626</v>
      </c>
      <c r="J1628">
        <f t="shared" ca="1" si="104"/>
        <v>696</v>
      </c>
      <c r="K1628">
        <f ca="1">SUM($J$2:J1628)/I1628</f>
        <v>107.67730352541597</v>
      </c>
      <c r="M1628">
        <v>1626</v>
      </c>
      <c r="N1628">
        <f t="shared" ca="1" si="105"/>
        <v>696</v>
      </c>
      <c r="O1628">
        <f ca="1">SUM($N$2:N1628)/M1628</f>
        <v>109.77353320732168</v>
      </c>
    </row>
    <row r="1629" spans="1:15" x14ac:dyDescent="0.2">
      <c r="A1629">
        <v>1627</v>
      </c>
      <c r="B1629" s="11">
        <f t="shared" ca="1" si="102"/>
        <v>696</v>
      </c>
      <c r="C1629">
        <f ca="1">SUM($B$2:B1629)/A1629</f>
        <v>108.03890321593506</v>
      </c>
      <c r="E1629">
        <v>1627</v>
      </c>
      <c r="F1629" s="11">
        <f t="shared" ca="1" si="103"/>
        <v>696</v>
      </c>
      <c r="G1629">
        <f ca="1">SUM($F$2:F1629)/E1629</f>
        <v>110.13384449606947</v>
      </c>
      <c r="I1629">
        <v>1627</v>
      </c>
      <c r="J1629">
        <f t="shared" ca="1" si="104"/>
        <v>696</v>
      </c>
      <c r="K1629">
        <f ca="1">SUM($J$2:J1629)/I1629</f>
        <v>108.03890321593506</v>
      </c>
      <c r="M1629">
        <v>1627</v>
      </c>
      <c r="N1629">
        <f t="shared" ca="1" si="105"/>
        <v>696</v>
      </c>
      <c r="O1629">
        <f ca="1">SUM($N$2:N1629)/M1629</f>
        <v>110.13384449606947</v>
      </c>
    </row>
    <row r="1630" spans="1:15" x14ac:dyDescent="0.2">
      <c r="A1630">
        <v>1628</v>
      </c>
      <c r="B1630" s="11">
        <f t="shared" ca="1" si="102"/>
        <v>696</v>
      </c>
      <c r="C1630">
        <f ca="1">SUM($B$2:B1630)/A1630</f>
        <v>108.40005868079015</v>
      </c>
      <c r="E1630">
        <v>1628</v>
      </c>
      <c r="F1630" s="11">
        <f t="shared" ca="1" si="103"/>
        <v>696</v>
      </c>
      <c r="G1630">
        <f ca="1">SUM($F$2:F1630)/E1630</f>
        <v>110.49371314195642</v>
      </c>
      <c r="I1630">
        <v>1628</v>
      </c>
      <c r="J1630">
        <f t="shared" ca="1" si="104"/>
        <v>696</v>
      </c>
      <c r="K1630">
        <f ca="1">SUM($J$2:J1630)/I1630</f>
        <v>108.40005868079015</v>
      </c>
      <c r="M1630">
        <v>1628</v>
      </c>
      <c r="N1630">
        <f t="shared" ca="1" si="105"/>
        <v>696</v>
      </c>
      <c r="O1630">
        <f ca="1">SUM($N$2:N1630)/M1630</f>
        <v>110.49371314195642</v>
      </c>
    </row>
    <row r="1631" spans="1:15" x14ac:dyDescent="0.2">
      <c r="A1631">
        <v>1629</v>
      </c>
      <c r="B1631" s="11">
        <f t="shared" ca="1" si="102"/>
        <v>696</v>
      </c>
      <c r="C1631">
        <f ca="1">SUM($B$2:B1631)/A1631</f>
        <v>108.76077073807635</v>
      </c>
      <c r="E1631">
        <v>1629</v>
      </c>
      <c r="F1631" s="11">
        <f t="shared" ca="1" si="103"/>
        <v>696</v>
      </c>
      <c r="G1631">
        <f ca="1">SUM($F$2:F1631)/E1631</f>
        <v>110.85313996016271</v>
      </c>
      <c r="I1631">
        <v>1629</v>
      </c>
      <c r="J1631">
        <f t="shared" ca="1" si="104"/>
        <v>696</v>
      </c>
      <c r="K1631">
        <f ca="1">SUM($J$2:J1631)/I1631</f>
        <v>108.76077073807635</v>
      </c>
      <c r="M1631">
        <v>1629</v>
      </c>
      <c r="N1631">
        <f t="shared" ca="1" si="105"/>
        <v>696</v>
      </c>
      <c r="O1631">
        <f ca="1">SUM($N$2:N1631)/M1631</f>
        <v>110.85313996016271</v>
      </c>
    </row>
    <row r="1632" spans="1:15" x14ac:dyDescent="0.2">
      <c r="A1632">
        <v>1630</v>
      </c>
      <c r="B1632" s="11">
        <f t="shared" ca="1" si="102"/>
        <v>696</v>
      </c>
      <c r="C1632">
        <f ca="1">SUM($B$2:B1632)/A1632</f>
        <v>109.12104020388121</v>
      </c>
      <c r="E1632">
        <v>1630</v>
      </c>
      <c r="F1632" s="11">
        <f t="shared" ca="1" si="103"/>
        <v>696</v>
      </c>
      <c r="G1632">
        <f ca="1">SUM($F$2:F1632)/E1632</f>
        <v>111.21212576386813</v>
      </c>
      <c r="I1632">
        <v>1630</v>
      </c>
      <c r="J1632">
        <f t="shared" ca="1" si="104"/>
        <v>696</v>
      </c>
      <c r="K1632">
        <f ca="1">SUM($J$2:J1632)/I1632</f>
        <v>109.12104020388121</v>
      </c>
      <c r="M1632">
        <v>1630</v>
      </c>
      <c r="N1632">
        <f t="shared" ca="1" si="105"/>
        <v>696</v>
      </c>
      <c r="O1632">
        <f ca="1">SUM($N$2:N1632)/M1632</f>
        <v>111.21212576386813</v>
      </c>
    </row>
    <row r="1633" spans="1:15" x14ac:dyDescent="0.2">
      <c r="A1633">
        <v>1631</v>
      </c>
      <c r="B1633" s="11">
        <f t="shared" ca="1" si="102"/>
        <v>696</v>
      </c>
      <c r="C1633">
        <f ca="1">SUM($B$2:B1633)/A1633</f>
        <v>109.48086789229085</v>
      </c>
      <c r="E1633">
        <v>1631</v>
      </c>
      <c r="F1633" s="11">
        <f t="shared" ca="1" si="103"/>
        <v>696</v>
      </c>
      <c r="G1633">
        <f ca="1">SUM($F$2:F1633)/E1633</f>
        <v>111.57067136425815</v>
      </c>
      <c r="I1633">
        <v>1631</v>
      </c>
      <c r="J1633">
        <f t="shared" ca="1" si="104"/>
        <v>696</v>
      </c>
      <c r="K1633">
        <f ca="1">SUM($J$2:J1633)/I1633</f>
        <v>109.48086789229085</v>
      </c>
      <c r="M1633">
        <v>1631</v>
      </c>
      <c r="N1633">
        <f t="shared" ca="1" si="105"/>
        <v>696</v>
      </c>
      <c r="O1633">
        <f ca="1">SUM($N$2:N1633)/M1633</f>
        <v>111.57067136425815</v>
      </c>
    </row>
    <row r="1634" spans="1:15" x14ac:dyDescent="0.2">
      <c r="A1634">
        <v>1632</v>
      </c>
      <c r="B1634" s="11">
        <f t="shared" ca="1" si="102"/>
        <v>696</v>
      </c>
      <c r="C1634">
        <f ca="1">SUM($B$2:B1634)/A1634</f>
        <v>109.84025461539605</v>
      </c>
      <c r="E1634">
        <v>1632</v>
      </c>
      <c r="F1634" s="11">
        <f t="shared" ca="1" si="103"/>
        <v>696</v>
      </c>
      <c r="G1634">
        <f ca="1">SUM($F$2:F1634)/E1634</f>
        <v>111.92877757053004</v>
      </c>
      <c r="I1634">
        <v>1632</v>
      </c>
      <c r="J1634">
        <f t="shared" ca="1" si="104"/>
        <v>696</v>
      </c>
      <c r="K1634">
        <f ca="1">SUM($J$2:J1634)/I1634</f>
        <v>109.84025461539605</v>
      </c>
      <c r="M1634">
        <v>1632</v>
      </c>
      <c r="N1634">
        <f t="shared" ca="1" si="105"/>
        <v>696</v>
      </c>
      <c r="O1634">
        <f ca="1">SUM($N$2:N1634)/M1634</f>
        <v>111.92877757053004</v>
      </c>
    </row>
    <row r="1635" spans="1:15" x14ac:dyDescent="0.2">
      <c r="A1635">
        <v>1633</v>
      </c>
      <c r="B1635" s="11">
        <f t="shared" ca="1" si="102"/>
        <v>696</v>
      </c>
      <c r="C1635">
        <f ca="1">SUM($B$2:B1635)/A1635</f>
        <v>110.19920118329844</v>
      </c>
      <c r="E1635">
        <v>1633</v>
      </c>
      <c r="F1635" s="11">
        <f t="shared" ca="1" si="103"/>
        <v>696</v>
      </c>
      <c r="G1635">
        <f ca="1">SUM($F$2:F1635)/E1635</f>
        <v>112.28644518989898</v>
      </c>
      <c r="I1635">
        <v>1633</v>
      </c>
      <c r="J1635">
        <f t="shared" ca="1" si="104"/>
        <v>696</v>
      </c>
      <c r="K1635">
        <f ca="1">SUM($J$2:J1635)/I1635</f>
        <v>110.19920118329844</v>
      </c>
      <c r="M1635">
        <v>1633</v>
      </c>
      <c r="N1635">
        <f t="shared" ca="1" si="105"/>
        <v>696</v>
      </c>
      <c r="O1635">
        <f ca="1">SUM($N$2:N1635)/M1635</f>
        <v>112.28644518989898</v>
      </c>
    </row>
    <row r="1636" spans="1:15" x14ac:dyDescent="0.2">
      <c r="A1636">
        <v>1634</v>
      </c>
      <c r="B1636" s="11">
        <f t="shared" ca="1" si="102"/>
        <v>696</v>
      </c>
      <c r="C1636">
        <f ca="1">SUM($B$2:B1636)/A1636</f>
        <v>110.5577084041165</v>
      </c>
      <c r="E1636">
        <v>1634</v>
      </c>
      <c r="F1636" s="11">
        <f t="shared" ca="1" si="103"/>
        <v>696</v>
      </c>
      <c r="G1636">
        <f ca="1">SUM($F$2:F1636)/E1636</f>
        <v>112.64367502760406</v>
      </c>
      <c r="I1636">
        <v>1634</v>
      </c>
      <c r="J1636">
        <f t="shared" ca="1" si="104"/>
        <v>696</v>
      </c>
      <c r="K1636">
        <f ca="1">SUM($J$2:J1636)/I1636</f>
        <v>110.5577084041165</v>
      </c>
      <c r="M1636">
        <v>1634</v>
      </c>
      <c r="N1636">
        <f t="shared" ca="1" si="105"/>
        <v>696</v>
      </c>
      <c r="O1636">
        <f ca="1">SUM($N$2:N1636)/M1636</f>
        <v>112.64367502760406</v>
      </c>
    </row>
    <row r="1637" spans="1:15" x14ac:dyDescent="0.2">
      <c r="A1637">
        <v>1635</v>
      </c>
      <c r="B1637" s="11">
        <f t="shared" ca="1" si="102"/>
        <v>696</v>
      </c>
      <c r="C1637">
        <f ca="1">SUM($B$2:B1637)/A1637</f>
        <v>110.91577708399166</v>
      </c>
      <c r="E1637">
        <v>1635</v>
      </c>
      <c r="F1637" s="11">
        <f t="shared" ca="1" si="103"/>
        <v>696</v>
      </c>
      <c r="G1637">
        <f ca="1">SUM($F$2:F1637)/E1637</f>
        <v>113.00046788691439</v>
      </c>
      <c r="I1637">
        <v>1635</v>
      </c>
      <c r="J1637">
        <f t="shared" ca="1" si="104"/>
        <v>696</v>
      </c>
      <c r="K1637">
        <f ca="1">SUM($J$2:J1637)/I1637</f>
        <v>110.91577708399166</v>
      </c>
      <c r="M1637">
        <v>1635</v>
      </c>
      <c r="N1637">
        <f t="shared" ca="1" si="105"/>
        <v>696</v>
      </c>
      <c r="O1637">
        <f ca="1">SUM($N$2:N1637)/M1637</f>
        <v>113.00046788691439</v>
      </c>
    </row>
    <row r="1638" spans="1:15" x14ac:dyDescent="0.2">
      <c r="A1638">
        <v>1636</v>
      </c>
      <c r="B1638" s="11">
        <f t="shared" ca="1" si="102"/>
        <v>696</v>
      </c>
      <c r="C1638">
        <f ca="1">SUM($B$2:B1638)/A1638</f>
        <v>111.27340802709435</v>
      </c>
      <c r="E1638">
        <v>1636</v>
      </c>
      <c r="F1638" s="11">
        <f t="shared" ca="1" si="103"/>
        <v>696</v>
      </c>
      <c r="G1638">
        <f ca="1">SUM($F$2:F1638)/E1638</f>
        <v>113.35682456913511</v>
      </c>
      <c r="I1638">
        <v>1636</v>
      </c>
      <c r="J1638">
        <f t="shared" ca="1" si="104"/>
        <v>696</v>
      </c>
      <c r="K1638">
        <f ca="1">SUM($J$2:J1638)/I1638</f>
        <v>111.27340802709435</v>
      </c>
      <c r="M1638">
        <v>1636</v>
      </c>
      <c r="N1638">
        <f t="shared" ca="1" si="105"/>
        <v>696</v>
      </c>
      <c r="O1638">
        <f ca="1">SUM($N$2:N1638)/M1638</f>
        <v>113.35682456913511</v>
      </c>
    </row>
    <row r="1639" spans="1:15" x14ac:dyDescent="0.2">
      <c r="A1639">
        <v>1637</v>
      </c>
      <c r="B1639" s="11">
        <f t="shared" ca="1" si="102"/>
        <v>696</v>
      </c>
      <c r="C1639">
        <f ca="1">SUM($B$2:B1639)/A1639</f>
        <v>111.63060203563003</v>
      </c>
      <c r="E1639">
        <v>1637</v>
      </c>
      <c r="F1639" s="11">
        <f t="shared" ca="1" si="103"/>
        <v>696</v>
      </c>
      <c r="G1639">
        <f ca="1">SUM($F$2:F1639)/E1639</f>
        <v>113.71274587361334</v>
      </c>
      <c r="I1639">
        <v>1637</v>
      </c>
      <c r="J1639">
        <f t="shared" ca="1" si="104"/>
        <v>696</v>
      </c>
      <c r="K1639">
        <f ca="1">SUM($J$2:J1639)/I1639</f>
        <v>111.63060203563003</v>
      </c>
      <c r="M1639">
        <v>1637</v>
      </c>
      <c r="N1639">
        <f t="shared" ca="1" si="105"/>
        <v>696</v>
      </c>
      <c r="O1639">
        <f ca="1">SUM($N$2:N1639)/M1639</f>
        <v>113.71274587361334</v>
      </c>
    </row>
    <row r="1640" spans="1:15" x14ac:dyDescent="0.2">
      <c r="A1640">
        <v>1638</v>
      </c>
      <c r="B1640" s="11">
        <f t="shared" ca="1" si="102"/>
        <v>696</v>
      </c>
      <c r="C1640">
        <f ca="1">SUM($B$2:B1640)/A1640</f>
        <v>111.98735990984515</v>
      </c>
      <c r="E1640">
        <v>1638</v>
      </c>
      <c r="F1640" s="11">
        <f t="shared" ca="1" si="103"/>
        <v>696</v>
      </c>
      <c r="G1640">
        <f ca="1">SUM($F$2:F1640)/E1640</f>
        <v>114.06823259774423</v>
      </c>
      <c r="I1640">
        <v>1638</v>
      </c>
      <c r="J1640">
        <f t="shared" ca="1" si="104"/>
        <v>696</v>
      </c>
      <c r="K1640">
        <f ca="1">SUM($J$2:J1640)/I1640</f>
        <v>111.98735990984515</v>
      </c>
      <c r="M1640">
        <v>1638</v>
      </c>
      <c r="N1640">
        <f t="shared" ca="1" si="105"/>
        <v>696</v>
      </c>
      <c r="O1640">
        <f ca="1">SUM($N$2:N1640)/M1640</f>
        <v>114.06823259774423</v>
      </c>
    </row>
    <row r="1641" spans="1:15" x14ac:dyDescent="0.2">
      <c r="A1641">
        <v>1639</v>
      </c>
      <c r="B1641" s="11">
        <f t="shared" ca="1" si="102"/>
        <v>696</v>
      </c>
      <c r="C1641">
        <f ca="1">SUM($B$2:B1641)/A1641</f>
        <v>112.34368244803316</v>
      </c>
      <c r="E1641">
        <v>1639</v>
      </c>
      <c r="F1641" s="11">
        <f t="shared" ca="1" si="103"/>
        <v>696</v>
      </c>
      <c r="G1641">
        <f ca="1">SUM($F$2:F1641)/E1641</f>
        <v>114.42328553697683</v>
      </c>
      <c r="I1641">
        <v>1639</v>
      </c>
      <c r="J1641">
        <f t="shared" ca="1" si="104"/>
        <v>696</v>
      </c>
      <c r="K1641">
        <f ca="1">SUM($J$2:J1641)/I1641</f>
        <v>112.34368244803316</v>
      </c>
      <c r="M1641">
        <v>1639</v>
      </c>
      <c r="N1641">
        <f t="shared" ca="1" si="105"/>
        <v>696</v>
      </c>
      <c r="O1641">
        <f ca="1">SUM($N$2:N1641)/M1641</f>
        <v>114.42328553697683</v>
      </c>
    </row>
    <row r="1642" spans="1:15" x14ac:dyDescent="0.2">
      <c r="A1642">
        <v>1640</v>
      </c>
      <c r="B1642" s="11">
        <f t="shared" ca="1" si="102"/>
        <v>696</v>
      </c>
      <c r="C1642">
        <f ca="1">SUM($B$2:B1642)/A1642</f>
        <v>112.69957044654046</v>
      </c>
      <c r="E1642">
        <v>1640</v>
      </c>
      <c r="F1642" s="11">
        <f t="shared" ca="1" si="103"/>
        <v>696</v>
      </c>
      <c r="G1642">
        <f ca="1">SUM($F$2:F1642)/E1642</f>
        <v>114.77790548482015</v>
      </c>
      <c r="I1642">
        <v>1640</v>
      </c>
      <c r="J1642">
        <f t="shared" ca="1" si="104"/>
        <v>696</v>
      </c>
      <c r="K1642">
        <f ca="1">SUM($J$2:J1642)/I1642</f>
        <v>112.69957044654046</v>
      </c>
      <c r="M1642">
        <v>1640</v>
      </c>
      <c r="N1642">
        <f t="shared" ca="1" si="105"/>
        <v>696</v>
      </c>
      <c r="O1642">
        <f ca="1">SUM($N$2:N1642)/M1642</f>
        <v>114.77790548482015</v>
      </c>
    </row>
    <row r="1643" spans="1:15" x14ac:dyDescent="0.2">
      <c r="A1643">
        <v>1641</v>
      </c>
      <c r="B1643" s="11">
        <f t="shared" ca="1" si="102"/>
        <v>696</v>
      </c>
      <c r="C1643">
        <f ca="1">SUM($B$2:B1643)/A1643</f>
        <v>113.0550246997723</v>
      </c>
      <c r="E1643">
        <v>1641</v>
      </c>
      <c r="F1643" s="11">
        <f t="shared" ca="1" si="103"/>
        <v>696</v>
      </c>
      <c r="G1643">
        <f ca="1">SUM($F$2:F1643)/E1643</f>
        <v>115.1320932328489</v>
      </c>
      <c r="I1643">
        <v>1641</v>
      </c>
      <c r="J1643">
        <f t="shared" ca="1" si="104"/>
        <v>696</v>
      </c>
      <c r="K1643">
        <f ca="1">SUM($J$2:J1643)/I1643</f>
        <v>113.0550246997723</v>
      </c>
      <c r="M1643">
        <v>1641</v>
      </c>
      <c r="N1643">
        <f t="shared" ca="1" si="105"/>
        <v>696</v>
      </c>
      <c r="O1643">
        <f ca="1">SUM($N$2:N1643)/M1643</f>
        <v>115.1320932328489</v>
      </c>
    </row>
    <row r="1644" spans="1:15" x14ac:dyDescent="0.2">
      <c r="A1644">
        <v>1642</v>
      </c>
      <c r="B1644" s="11">
        <f t="shared" ca="1" si="102"/>
        <v>696</v>
      </c>
      <c r="C1644">
        <f ca="1">SUM($B$2:B1644)/A1644</f>
        <v>113.41004600019876</v>
      </c>
      <c r="E1644">
        <v>1642</v>
      </c>
      <c r="F1644" s="11">
        <f t="shared" ca="1" si="103"/>
        <v>696</v>
      </c>
      <c r="G1644">
        <f ca="1">SUM($F$2:F1644)/E1644</f>
        <v>115.48584957070952</v>
      </c>
      <c r="I1644">
        <v>1642</v>
      </c>
      <c r="J1644">
        <f t="shared" ca="1" si="104"/>
        <v>696</v>
      </c>
      <c r="K1644">
        <f ca="1">SUM($J$2:J1644)/I1644</f>
        <v>113.41004600019876</v>
      </c>
      <c r="M1644">
        <v>1642</v>
      </c>
      <c r="N1644">
        <f t="shared" ca="1" si="105"/>
        <v>696</v>
      </c>
      <c r="O1644">
        <f ca="1">SUM($N$2:N1644)/M1644</f>
        <v>115.48584957070952</v>
      </c>
    </row>
    <row r="1645" spans="1:15" x14ac:dyDescent="0.2">
      <c r="A1645">
        <v>1643</v>
      </c>
      <c r="B1645" s="11">
        <f t="shared" ca="1" si="102"/>
        <v>696</v>
      </c>
      <c r="C1645">
        <f ca="1">SUM($B$2:B1645)/A1645</f>
        <v>113.76463513836053</v>
      </c>
      <c r="E1645">
        <v>1643</v>
      </c>
      <c r="F1645" s="11">
        <f t="shared" ca="1" si="103"/>
        <v>696</v>
      </c>
      <c r="G1645">
        <f ca="1">SUM($F$2:F1645)/E1645</f>
        <v>115.83917528612601</v>
      </c>
      <c r="I1645">
        <v>1643</v>
      </c>
      <c r="J1645">
        <f t="shared" ca="1" si="104"/>
        <v>696</v>
      </c>
      <c r="K1645">
        <f ca="1">SUM($J$2:J1645)/I1645</f>
        <v>113.76463513836053</v>
      </c>
      <c r="M1645">
        <v>1643</v>
      </c>
      <c r="N1645">
        <f t="shared" ca="1" si="105"/>
        <v>696</v>
      </c>
      <c r="O1645">
        <f ca="1">SUM($N$2:N1645)/M1645</f>
        <v>115.83917528612601</v>
      </c>
    </row>
    <row r="1646" spans="1:15" x14ac:dyDescent="0.2">
      <c r="A1646">
        <v>1644</v>
      </c>
      <c r="B1646" s="11">
        <f t="shared" ca="1" si="102"/>
        <v>696</v>
      </c>
      <c r="C1646">
        <f ca="1">SUM($B$2:B1646)/A1646</f>
        <v>114.11879290287492</v>
      </c>
      <c r="E1646">
        <v>1644</v>
      </c>
      <c r="F1646" s="11">
        <f t="shared" ca="1" si="103"/>
        <v>696</v>
      </c>
      <c r="G1646">
        <f ca="1">SUM($F$2:F1646)/E1646</f>
        <v>116.19207116490574</v>
      </c>
      <c r="I1646">
        <v>1644</v>
      </c>
      <c r="J1646">
        <f t="shared" ca="1" si="104"/>
        <v>696</v>
      </c>
      <c r="K1646">
        <f ca="1">SUM($J$2:J1646)/I1646</f>
        <v>114.11879290287492</v>
      </c>
      <c r="M1646">
        <v>1644</v>
      </c>
      <c r="N1646">
        <f t="shared" ca="1" si="105"/>
        <v>696</v>
      </c>
      <c r="O1646">
        <f ca="1">SUM($N$2:N1646)/M1646</f>
        <v>116.19207116490574</v>
      </c>
    </row>
    <row r="1647" spans="1:15" x14ac:dyDescent="0.2">
      <c r="A1647">
        <v>1645</v>
      </c>
      <c r="B1647" s="11">
        <f t="shared" ca="1" si="102"/>
        <v>696</v>
      </c>
      <c r="C1647">
        <f ca="1">SUM($B$2:B1647)/A1647</f>
        <v>114.47252008044156</v>
      </c>
      <c r="E1647">
        <v>1645</v>
      </c>
      <c r="F1647" s="11">
        <f t="shared" ca="1" si="103"/>
        <v>696</v>
      </c>
      <c r="G1647">
        <f ca="1">SUM($F$2:F1647)/E1647</f>
        <v>116.54453799094532</v>
      </c>
      <c r="I1647">
        <v>1645</v>
      </c>
      <c r="J1647">
        <f t="shared" ca="1" si="104"/>
        <v>696</v>
      </c>
      <c r="K1647">
        <f ca="1">SUM($J$2:J1647)/I1647</f>
        <v>114.47252008044156</v>
      </c>
      <c r="M1647">
        <v>1645</v>
      </c>
      <c r="N1647">
        <f t="shared" ca="1" si="105"/>
        <v>696</v>
      </c>
      <c r="O1647">
        <f ca="1">SUM($N$2:N1647)/M1647</f>
        <v>116.54453799094532</v>
      </c>
    </row>
    <row r="1648" spans="1:15" x14ac:dyDescent="0.2">
      <c r="A1648">
        <v>1646</v>
      </c>
      <c r="B1648" s="11">
        <f t="shared" ca="1" si="102"/>
        <v>696</v>
      </c>
      <c r="C1648">
        <f ca="1">SUM($B$2:B1648)/A1648</f>
        <v>114.82581745584834</v>
      </c>
      <c r="E1648">
        <v>1646</v>
      </c>
      <c r="F1648" s="11">
        <f t="shared" ca="1" si="103"/>
        <v>696</v>
      </c>
      <c r="G1648">
        <f ca="1">SUM($F$2:F1648)/E1648</f>
        <v>116.89657654623636</v>
      </c>
      <c r="I1648">
        <v>1646</v>
      </c>
      <c r="J1648">
        <f t="shared" ca="1" si="104"/>
        <v>696</v>
      </c>
      <c r="K1648">
        <f ca="1">SUM($J$2:J1648)/I1648</f>
        <v>114.82581745584834</v>
      </c>
      <c r="M1648">
        <v>1646</v>
      </c>
      <c r="N1648">
        <f t="shared" ca="1" si="105"/>
        <v>696</v>
      </c>
      <c r="O1648">
        <f ca="1">SUM($N$2:N1648)/M1648</f>
        <v>116.89657654623636</v>
      </c>
    </row>
    <row r="1649" spans="1:15" x14ac:dyDescent="0.2">
      <c r="A1649">
        <v>1647</v>
      </c>
      <c r="B1649" s="11">
        <f t="shared" ca="1" si="102"/>
        <v>696</v>
      </c>
      <c r="C1649">
        <f ca="1">SUM($B$2:B1649)/A1649</f>
        <v>115.17868581197715</v>
      </c>
      <c r="E1649">
        <v>1647</v>
      </c>
      <c r="F1649" s="11">
        <f t="shared" ca="1" si="103"/>
        <v>696</v>
      </c>
      <c r="G1649">
        <f ca="1">SUM($F$2:F1649)/E1649</f>
        <v>117.24818761087131</v>
      </c>
      <c r="I1649">
        <v>1647</v>
      </c>
      <c r="J1649">
        <f t="shared" ca="1" si="104"/>
        <v>696</v>
      </c>
      <c r="K1649">
        <f ca="1">SUM($J$2:J1649)/I1649</f>
        <v>115.17868581197715</v>
      </c>
      <c r="M1649">
        <v>1647</v>
      </c>
      <c r="N1649">
        <f t="shared" ca="1" si="105"/>
        <v>696</v>
      </c>
      <c r="O1649">
        <f ca="1">SUM($N$2:N1649)/M1649</f>
        <v>117.24818761087131</v>
      </c>
    </row>
    <row r="1650" spans="1:15" x14ac:dyDescent="0.2">
      <c r="A1650">
        <v>1648</v>
      </c>
      <c r="B1650" s="11">
        <f t="shared" ca="1" si="102"/>
        <v>696</v>
      </c>
      <c r="C1650">
        <f ca="1">SUM($B$2:B1650)/A1650</f>
        <v>115.53112592980969</v>
      </c>
      <c r="E1650">
        <v>1648</v>
      </c>
      <c r="F1650" s="11">
        <f t="shared" ca="1" si="103"/>
        <v>696</v>
      </c>
      <c r="G1650">
        <f ca="1">SUM($F$2:F1650)/E1650</f>
        <v>117.59937196304918</v>
      </c>
      <c r="I1650">
        <v>1648</v>
      </c>
      <c r="J1650">
        <f t="shared" ca="1" si="104"/>
        <v>696</v>
      </c>
      <c r="K1650">
        <f ca="1">SUM($J$2:J1650)/I1650</f>
        <v>115.53112592980969</v>
      </c>
      <c r="M1650">
        <v>1648</v>
      </c>
      <c r="N1650">
        <f t="shared" ca="1" si="105"/>
        <v>696</v>
      </c>
      <c r="O1650">
        <f ca="1">SUM($N$2:N1650)/M1650</f>
        <v>117.59937196304918</v>
      </c>
    </row>
    <row r="1651" spans="1:15" x14ac:dyDescent="0.2">
      <c r="A1651">
        <v>1649</v>
      </c>
      <c r="B1651" s="11">
        <f t="shared" ca="1" si="102"/>
        <v>696</v>
      </c>
      <c r="C1651">
        <f ca="1">SUM($B$2:B1651)/A1651</f>
        <v>115.88313858843321</v>
      </c>
      <c r="E1651">
        <v>1649</v>
      </c>
      <c r="F1651" s="11">
        <f t="shared" ca="1" si="103"/>
        <v>696</v>
      </c>
      <c r="G1651">
        <f ca="1">SUM($F$2:F1651)/E1651</f>
        <v>117.95013037908129</v>
      </c>
      <c r="I1651">
        <v>1649</v>
      </c>
      <c r="J1651">
        <f t="shared" ca="1" si="104"/>
        <v>696</v>
      </c>
      <c r="K1651">
        <f ca="1">SUM($J$2:J1651)/I1651</f>
        <v>115.88313858843321</v>
      </c>
      <c r="M1651">
        <v>1649</v>
      </c>
      <c r="N1651">
        <f t="shared" ca="1" si="105"/>
        <v>696</v>
      </c>
      <c r="O1651">
        <f ca="1">SUM($N$2:N1651)/M1651</f>
        <v>117.95013037908129</v>
      </c>
    </row>
    <row r="1652" spans="1:15" x14ac:dyDescent="0.2">
      <c r="A1652">
        <v>1650</v>
      </c>
      <c r="B1652" s="11">
        <f t="shared" ca="1" si="102"/>
        <v>696</v>
      </c>
      <c r="C1652">
        <f ca="1">SUM($B$2:B1652)/A1652</f>
        <v>116.23472456504628</v>
      </c>
      <c r="E1652">
        <v>1650</v>
      </c>
      <c r="F1652" s="11">
        <f t="shared" ca="1" si="103"/>
        <v>696</v>
      </c>
      <c r="G1652">
        <f ca="1">SUM($F$2:F1652)/E1652</f>
        <v>118.300463633397</v>
      </c>
      <c r="I1652">
        <v>1650</v>
      </c>
      <c r="J1652">
        <f t="shared" ca="1" si="104"/>
        <v>696</v>
      </c>
      <c r="K1652">
        <f ca="1">SUM($J$2:J1652)/I1652</f>
        <v>116.23472456504628</v>
      </c>
      <c r="M1652">
        <v>1650</v>
      </c>
      <c r="N1652">
        <f t="shared" ca="1" si="105"/>
        <v>696</v>
      </c>
      <c r="O1652">
        <f ca="1">SUM($N$2:N1652)/M1652</f>
        <v>118.300463633397</v>
      </c>
    </row>
    <row r="1653" spans="1:15" x14ac:dyDescent="0.2">
      <c r="A1653">
        <v>1651</v>
      </c>
      <c r="B1653" s="11">
        <f t="shared" si="102"/>
        <v>0</v>
      </c>
      <c r="C1653">
        <f ca="1">SUM($B$2:B1653)/A1653</f>
        <v>116.16432194568526</v>
      </c>
      <c r="E1653">
        <v>1651</v>
      </c>
      <c r="F1653" s="11">
        <f t="shared" si="103"/>
        <v>0</v>
      </c>
      <c r="G1653">
        <f ca="1">SUM($F$2:F1653)/E1653</f>
        <v>118.22880980927016</v>
      </c>
      <c r="I1653">
        <v>1651</v>
      </c>
      <c r="J1653">
        <f t="shared" si="104"/>
        <v>0</v>
      </c>
      <c r="K1653">
        <f ca="1">SUM($J$2:J1653)/I1653</f>
        <v>116.16432194568526</v>
      </c>
      <c r="M1653">
        <v>1651</v>
      </c>
      <c r="N1653">
        <f t="shared" si="105"/>
        <v>0</v>
      </c>
      <c r="O1653">
        <f ca="1">SUM($N$2:N1653)/M1653</f>
        <v>118.22880980927016</v>
      </c>
    </row>
    <row r="1654" spans="1:15" x14ac:dyDescent="0.2">
      <c r="A1654">
        <v>1652</v>
      </c>
      <c r="B1654" s="11">
        <f t="shared" si="102"/>
        <v>0</v>
      </c>
      <c r="C1654">
        <f ca="1">SUM($B$2:B1654)/A1654</f>
        <v>116.09400455951959</v>
      </c>
      <c r="E1654">
        <v>1652</v>
      </c>
      <c r="F1654" s="11">
        <f t="shared" si="103"/>
        <v>0</v>
      </c>
      <c r="G1654">
        <f ca="1">SUM($F$2:F1654)/E1654</f>
        <v>118.15724273311443</v>
      </c>
      <c r="I1654">
        <v>1652</v>
      </c>
      <c r="J1654">
        <f t="shared" si="104"/>
        <v>0</v>
      </c>
      <c r="K1654">
        <f ca="1">SUM($J$2:J1654)/I1654</f>
        <v>116.09400455951959</v>
      </c>
      <c r="M1654">
        <v>1652</v>
      </c>
      <c r="N1654">
        <f t="shared" si="105"/>
        <v>0</v>
      </c>
      <c r="O1654">
        <f ca="1">SUM($N$2:N1654)/M1654</f>
        <v>118.15724273311443</v>
      </c>
    </row>
    <row r="1655" spans="1:15" x14ac:dyDescent="0.2">
      <c r="A1655">
        <v>1653</v>
      </c>
      <c r="B1655" s="11">
        <f t="shared" si="102"/>
        <v>0</v>
      </c>
      <c r="C1655">
        <f ca="1">SUM($B$2:B1655)/A1655</f>
        <v>116.02377225186108</v>
      </c>
      <c r="E1655">
        <v>1653</v>
      </c>
      <c r="F1655" s="11">
        <f t="shared" si="103"/>
        <v>0</v>
      </c>
      <c r="G1655">
        <f ca="1">SUM($F$2:F1655)/E1655</f>
        <v>118.08576224749247</v>
      </c>
      <c r="I1655">
        <v>1653</v>
      </c>
      <c r="J1655">
        <f t="shared" si="104"/>
        <v>0</v>
      </c>
      <c r="K1655">
        <f ca="1">SUM($J$2:J1655)/I1655</f>
        <v>116.02377225186108</v>
      </c>
      <c r="M1655">
        <v>1653</v>
      </c>
      <c r="N1655">
        <f t="shared" si="105"/>
        <v>0</v>
      </c>
      <c r="O1655">
        <f ca="1">SUM($N$2:N1655)/M1655</f>
        <v>118.08576224749247</v>
      </c>
    </row>
    <row r="1656" spans="1:15" x14ac:dyDescent="0.2">
      <c r="A1656">
        <v>1654</v>
      </c>
      <c r="B1656" s="11">
        <f t="shared" si="102"/>
        <v>0</v>
      </c>
      <c r="C1656">
        <f ca="1">SUM($B$2:B1656)/A1656</f>
        <v>115.95362486839562</v>
      </c>
      <c r="E1656">
        <v>1654</v>
      </c>
      <c r="F1656" s="11">
        <f t="shared" si="103"/>
        <v>0</v>
      </c>
      <c r="G1656">
        <f ca="1">SUM($F$2:F1656)/E1656</f>
        <v>118.01436819534767</v>
      </c>
      <c r="I1656">
        <v>1654</v>
      </c>
      <c r="J1656">
        <f t="shared" si="104"/>
        <v>0</v>
      </c>
      <c r="K1656">
        <f ca="1">SUM($J$2:J1656)/I1656</f>
        <v>115.95362486839562</v>
      </c>
      <c r="M1656">
        <v>1654</v>
      </c>
      <c r="N1656">
        <f t="shared" si="105"/>
        <v>0</v>
      </c>
      <c r="O1656">
        <f ca="1">SUM($N$2:N1656)/M1656</f>
        <v>118.01436819534767</v>
      </c>
    </row>
    <row r="1657" spans="1:15" x14ac:dyDescent="0.2">
      <c r="A1657">
        <v>1655</v>
      </c>
      <c r="B1657" s="11">
        <f t="shared" si="102"/>
        <v>0</v>
      </c>
      <c r="C1657">
        <f ca="1">SUM($B$2:B1657)/A1657</f>
        <v>115.88356225518208</v>
      </c>
      <c r="E1657">
        <v>1655</v>
      </c>
      <c r="F1657" s="11">
        <f t="shared" si="103"/>
        <v>0</v>
      </c>
      <c r="G1657">
        <f ca="1">SUM($F$2:F1657)/E1657</f>
        <v>117.94306042000305</v>
      </c>
      <c r="I1657">
        <v>1655</v>
      </c>
      <c r="J1657">
        <f t="shared" si="104"/>
        <v>0</v>
      </c>
      <c r="K1657">
        <f ca="1">SUM($J$2:J1657)/I1657</f>
        <v>115.88356225518208</v>
      </c>
      <c r="M1657">
        <v>1655</v>
      </c>
      <c r="N1657">
        <f t="shared" si="105"/>
        <v>0</v>
      </c>
      <c r="O1657">
        <f ca="1">SUM($N$2:N1657)/M1657</f>
        <v>117.94306042000305</v>
      </c>
    </row>
    <row r="1658" spans="1:15" x14ac:dyDescent="0.2">
      <c r="A1658">
        <v>1656</v>
      </c>
      <c r="B1658" s="11">
        <f t="shared" si="102"/>
        <v>0</v>
      </c>
      <c r="C1658">
        <f ca="1">SUM($B$2:B1658)/A1658</f>
        <v>115.81358425865119</v>
      </c>
      <c r="E1658">
        <v>1656</v>
      </c>
      <c r="F1658" s="11">
        <f t="shared" si="103"/>
        <v>0</v>
      </c>
      <c r="G1658">
        <f ca="1">SUM($F$2:F1658)/E1658</f>
        <v>117.87183876516005</v>
      </c>
      <c r="I1658">
        <v>1656</v>
      </c>
      <c r="J1658">
        <f t="shared" si="104"/>
        <v>0</v>
      </c>
      <c r="K1658">
        <f ca="1">SUM($J$2:J1658)/I1658</f>
        <v>115.81358425865119</v>
      </c>
      <c r="M1658">
        <v>1656</v>
      </c>
      <c r="N1658">
        <f t="shared" si="105"/>
        <v>0</v>
      </c>
      <c r="O1658">
        <f ca="1">SUM($N$2:N1658)/M1658</f>
        <v>117.87183876516005</v>
      </c>
    </row>
    <row r="1659" spans="1:15" x14ac:dyDescent="0.2">
      <c r="A1659">
        <v>1657</v>
      </c>
      <c r="B1659" s="11">
        <f t="shared" si="102"/>
        <v>0</v>
      </c>
      <c r="C1659">
        <f ca="1">SUM($B$2:B1659)/A1659</f>
        <v>115.74369072560432</v>
      </c>
      <c r="E1659">
        <v>1657</v>
      </c>
      <c r="F1659" s="11">
        <f t="shared" si="103"/>
        <v>0</v>
      </c>
      <c r="G1659">
        <f ca="1">SUM($F$2:F1659)/E1659</f>
        <v>117.80070307489743</v>
      </c>
      <c r="I1659">
        <v>1657</v>
      </c>
      <c r="J1659">
        <f t="shared" si="104"/>
        <v>0</v>
      </c>
      <c r="K1659">
        <f ca="1">SUM($J$2:J1659)/I1659</f>
        <v>115.74369072560432</v>
      </c>
      <c r="M1659">
        <v>1657</v>
      </c>
      <c r="N1659">
        <f t="shared" si="105"/>
        <v>0</v>
      </c>
      <c r="O1659">
        <f ca="1">SUM($N$2:N1659)/M1659</f>
        <v>117.80070307489743</v>
      </c>
    </row>
    <row r="1660" spans="1:15" x14ac:dyDescent="0.2">
      <c r="A1660">
        <v>1658</v>
      </c>
      <c r="B1660" s="11">
        <f t="shared" si="102"/>
        <v>0</v>
      </c>
      <c r="C1660">
        <f ca="1">SUM($B$2:B1660)/A1660</f>
        <v>115.67388150321253</v>
      </c>
      <c r="E1660">
        <v>1658</v>
      </c>
      <c r="F1660" s="11">
        <f t="shared" si="103"/>
        <v>0</v>
      </c>
      <c r="G1660">
        <f ca="1">SUM($F$2:F1660)/E1660</f>
        <v>117.7296531936701</v>
      </c>
      <c r="I1660">
        <v>1658</v>
      </c>
      <c r="J1660">
        <f t="shared" si="104"/>
        <v>0</v>
      </c>
      <c r="K1660">
        <f ca="1">SUM($J$2:J1660)/I1660</f>
        <v>115.67388150321253</v>
      </c>
      <c r="M1660">
        <v>1658</v>
      </c>
      <c r="N1660">
        <f t="shared" si="105"/>
        <v>0</v>
      </c>
      <c r="O1660">
        <f ca="1">SUM($N$2:N1660)/M1660</f>
        <v>117.7296531936701</v>
      </c>
    </row>
    <row r="1661" spans="1:15" x14ac:dyDescent="0.2">
      <c r="A1661">
        <v>1659</v>
      </c>
      <c r="B1661" s="11">
        <f t="shared" si="102"/>
        <v>0</v>
      </c>
      <c r="C1661">
        <f ca="1">SUM($B$2:B1661)/A1661</f>
        <v>115.60415643901528</v>
      </c>
      <c r="E1661">
        <v>1659</v>
      </c>
      <c r="F1661" s="11">
        <f t="shared" si="103"/>
        <v>0</v>
      </c>
      <c r="G1661">
        <f ca="1">SUM($F$2:F1661)/E1661</f>
        <v>117.65868896630805</v>
      </c>
      <c r="I1661">
        <v>1659</v>
      </c>
      <c r="J1661">
        <f t="shared" si="104"/>
        <v>0</v>
      </c>
      <c r="K1661">
        <f ca="1">SUM($J$2:J1661)/I1661</f>
        <v>115.60415643901528</v>
      </c>
      <c r="M1661">
        <v>1659</v>
      </c>
      <c r="N1661">
        <f t="shared" si="105"/>
        <v>0</v>
      </c>
      <c r="O1661">
        <f ca="1">SUM($N$2:N1661)/M1661</f>
        <v>117.65868896630805</v>
      </c>
    </row>
    <row r="1662" spans="1:15" x14ac:dyDescent="0.2">
      <c r="A1662">
        <v>1660</v>
      </c>
      <c r="B1662" s="11">
        <f t="shared" si="102"/>
        <v>0</v>
      </c>
      <c r="C1662">
        <f ca="1">SUM($B$2:B1662)/A1662</f>
        <v>115.53451538091949</v>
      </c>
      <c r="E1662">
        <v>1660</v>
      </c>
      <c r="F1662" s="11">
        <f t="shared" si="103"/>
        <v>0</v>
      </c>
      <c r="G1662">
        <f ca="1">SUM($F$2:F1662)/E1662</f>
        <v>117.58781023801508</v>
      </c>
      <c r="I1662">
        <v>1660</v>
      </c>
      <c r="J1662">
        <f t="shared" si="104"/>
        <v>0</v>
      </c>
      <c r="K1662">
        <f ca="1">SUM($J$2:J1662)/I1662</f>
        <v>115.53451538091949</v>
      </c>
      <c r="M1662">
        <v>1660</v>
      </c>
      <c r="N1662">
        <f t="shared" si="105"/>
        <v>0</v>
      </c>
      <c r="O1662">
        <f ca="1">SUM($N$2:N1662)/M1662</f>
        <v>117.58781023801508</v>
      </c>
    </row>
    <row r="1663" spans="1:15" x14ac:dyDescent="0.2">
      <c r="A1663">
        <v>1661</v>
      </c>
      <c r="B1663" s="11">
        <f t="shared" si="102"/>
        <v>0</v>
      </c>
      <c r="C1663">
        <f ca="1">SUM($B$2:B1663)/A1663</f>
        <v>115.46495817719828</v>
      </c>
      <c r="E1663">
        <v>1661</v>
      </c>
      <c r="F1663" s="11">
        <f t="shared" si="103"/>
        <v>0</v>
      </c>
      <c r="G1663">
        <f ca="1">SUM($F$2:F1663)/E1663</f>
        <v>117.51701685436788</v>
      </c>
      <c r="I1663">
        <v>1661</v>
      </c>
      <c r="J1663">
        <f t="shared" si="104"/>
        <v>0</v>
      </c>
      <c r="K1663">
        <f ca="1">SUM($J$2:J1663)/I1663</f>
        <v>115.46495817719828</v>
      </c>
      <c r="M1663">
        <v>1661</v>
      </c>
      <c r="N1663">
        <f t="shared" si="105"/>
        <v>0</v>
      </c>
      <c r="O1663">
        <f ca="1">SUM($N$2:N1663)/M1663</f>
        <v>117.51701685436788</v>
      </c>
    </row>
    <row r="1664" spans="1:15" x14ac:dyDescent="0.2">
      <c r="A1664">
        <v>1662</v>
      </c>
      <c r="B1664" s="11">
        <f t="shared" si="102"/>
        <v>0</v>
      </c>
      <c r="C1664">
        <f ca="1">SUM($B$2:B1664)/A1664</f>
        <v>115.39548467648999</v>
      </c>
      <c r="E1664">
        <v>1662</v>
      </c>
      <c r="F1664" s="11">
        <f t="shared" si="103"/>
        <v>0</v>
      </c>
      <c r="G1664">
        <f ca="1">SUM($F$2:F1664)/E1664</f>
        <v>117.4463086613147</v>
      </c>
      <c r="I1664">
        <v>1662</v>
      </c>
      <c r="J1664">
        <f t="shared" si="104"/>
        <v>0</v>
      </c>
      <c r="K1664">
        <f ca="1">SUM($J$2:J1664)/I1664</f>
        <v>115.39548467648999</v>
      </c>
      <c r="M1664">
        <v>1662</v>
      </c>
      <c r="N1664">
        <f t="shared" si="105"/>
        <v>0</v>
      </c>
      <c r="O1664">
        <f ca="1">SUM($N$2:N1664)/M1664</f>
        <v>117.4463086613147</v>
      </c>
    </row>
    <row r="1665" spans="1:15" x14ac:dyDescent="0.2">
      <c r="A1665">
        <v>1663</v>
      </c>
      <c r="B1665" s="11">
        <f t="shared" si="102"/>
        <v>0</v>
      </c>
      <c r="C1665">
        <f ca="1">SUM($B$2:B1665)/A1665</f>
        <v>115.32609472779697</v>
      </c>
      <c r="E1665">
        <v>1663</v>
      </c>
      <c r="F1665" s="11">
        <f t="shared" si="103"/>
        <v>0</v>
      </c>
      <c r="G1665">
        <f ca="1">SUM($F$2:F1665)/E1665</f>
        <v>117.3756855051744</v>
      </c>
      <c r="I1665">
        <v>1663</v>
      </c>
      <c r="J1665">
        <f t="shared" si="104"/>
        <v>0</v>
      </c>
      <c r="K1665">
        <f ca="1">SUM($J$2:J1665)/I1665</f>
        <v>115.32609472779697</v>
      </c>
      <c r="M1665">
        <v>1663</v>
      </c>
      <c r="N1665">
        <f t="shared" si="105"/>
        <v>0</v>
      </c>
      <c r="O1665">
        <f ca="1">SUM($N$2:N1665)/M1665</f>
        <v>117.3756855051744</v>
      </c>
    </row>
    <row r="1666" spans="1:15" x14ac:dyDescent="0.2">
      <c r="A1666">
        <v>1664</v>
      </c>
      <c r="B1666" s="11">
        <f t="shared" si="102"/>
        <v>0</v>
      </c>
      <c r="C1666">
        <f ca="1">SUM($B$2:B1666)/A1666</f>
        <v>115.25678818048459</v>
      </c>
      <c r="E1666">
        <v>1664</v>
      </c>
      <c r="F1666" s="11">
        <f t="shared" si="103"/>
        <v>0</v>
      </c>
      <c r="G1666">
        <f ca="1">SUM($F$2:F1666)/E1666</f>
        <v>117.30514723263524</v>
      </c>
      <c r="I1666">
        <v>1664</v>
      </c>
      <c r="J1666">
        <f t="shared" si="104"/>
        <v>0</v>
      </c>
      <c r="K1666">
        <f ca="1">SUM($J$2:J1666)/I1666</f>
        <v>115.25678818048459</v>
      </c>
      <c r="M1666">
        <v>1664</v>
      </c>
      <c r="N1666">
        <f t="shared" si="105"/>
        <v>0</v>
      </c>
      <c r="O1666">
        <f ca="1">SUM($N$2:N1666)/M1666</f>
        <v>117.30514723263524</v>
      </c>
    </row>
    <row r="1667" spans="1:15" x14ac:dyDescent="0.2">
      <c r="A1667">
        <v>1665</v>
      </c>
      <c r="B1667" s="11">
        <f t="shared" ref="B1667:B1730" si="106">IF(ARCap-IF((A1667-IF(A1667/180&gt;1,ROUNDDOWN(A1667/180,0)*180,0))/30&lt;=1,IF(200*15*BaseSpeed/60*(YellowConnects+WhiteMHConnects+WhiteOHConnects+HoJConnects+WindfuryConnects+SSConnects+IronfoeConnects)*(A1667-180*ROUNDDOWN(A1667/180,0))&gt;1200,1200,200*15*BaseSpeed/60*(YellowConnects+WhiteMHConnects+WhiteOHConnects+HoJConnects+WindfuryConnects+SSConnects+IronfoeConnects)*(A1667-180*ROUNDDOWN(A1667/180,0))),0)&lt;0,ARCap,IF((A1667-IF(A1667/180&gt;1,ROUNDDOWN(A1666/180,0)*180,0))/30&lt;=1,IF(200*15*BaseSpeed/60*(YellowConnects+WhiteMHConnects+WhiteOHConnects+HoJConnects+WindfuryConnects+SSConnects+IronfoeConnects)*(A1667-180*ROUNDDOWN(A1667/180,0))&gt;1200,1200,200*15*BaseSpeed/60*(YellowConnects+WhiteMHConnects+WhiteOHConnects+HoJConnects+WindfuryConnects+SSConnects+IronfoeConnects)*(A1667-180*ROUNDDOWN(A1667/180,0))),0))</f>
        <v>0</v>
      </c>
      <c r="C1667">
        <f ca="1">SUM($B$2:B1667)/A1667</f>
        <v>115.18756488428009</v>
      </c>
      <c r="E1667">
        <v>1665</v>
      </c>
      <c r="F1667" s="11">
        <f t="shared" ref="F1667:F1730" si="107">IF(ARCap-IF((A1667-IF(A1667/180&gt;1,ROUNDDOWN(A1667/180,0)*180,0))/30&lt;=1,IF(200*15*BaseSpeed/60*(YellowConnects20+WhiteMHConnects20+WhiteOHConnects20+HoJConnects20+WindfuryConnects20+SSConnects20+IronfoeConnects20)*(A1667-180*ROUNDDOWN(A1667/180,0))&gt;1200,1200,200*15*BaseSpeed/60*(YellowConnects20+WhiteMHConnects20+WhiteOHConnects20+HoJConnects20+WindfuryConnects20+SSConnects20+IronfoeConnects20)*(A1667-180*ROUNDDOWN(A1667/180,0))),0)&lt;0,ARCap,IF((A1667-IF(A1667/180&gt;1,ROUNDDOWN(A1667/180,0)*180,0))/30&lt;=1,IF(200*15*BaseSpeed/60*(YellowConnects20+WhiteMHConnects20+WhiteOHConnects20+HoJConnects20+WindfuryConnects20+SSConnects20+IronfoeConnects20)*(A1667-180*ROUNDDOWN(A1667/180,0))&gt;1200,1200,200*15*BaseSpeed/60*(YellowConnects20+WhiteMHConnects20+WhiteOHConnects20+HoJConnects20+WindfuryConnects20+SSConnects20+IronfoeConnects20)*(A1667-180*ROUNDDOWN(A1667/180,0))),0))</f>
        <v>0</v>
      </c>
      <c r="G1667">
        <f ca="1">SUM($F$2:F1667)/E1667</f>
        <v>117.23469369075377</v>
      </c>
      <c r="I1667">
        <v>1665</v>
      </c>
      <c r="J1667">
        <f t="shared" ref="J1667:J1730" si="108">IF(ARCap-(B1667+BRE)&lt;0,ARCap,B1667+BRE)</f>
        <v>0</v>
      </c>
      <c r="K1667">
        <f ca="1">SUM($J$2:J1667)/I1667</f>
        <v>115.18756488428009</v>
      </c>
      <c r="M1667">
        <v>1665</v>
      </c>
      <c r="N1667">
        <f t="shared" ref="N1667:N1730" si="109">IF(ARCap-(F1667+BREArmorReduction20)&lt;0,ARCap,F1667+BREArmorReduction20)</f>
        <v>0</v>
      </c>
      <c r="O1667">
        <f ca="1">SUM($N$2:N1667)/M1667</f>
        <v>117.23469369075377</v>
      </c>
    </row>
    <row r="1668" spans="1:15" x14ac:dyDescent="0.2">
      <c r="A1668">
        <v>1666</v>
      </c>
      <c r="B1668" s="11">
        <f t="shared" si="106"/>
        <v>0</v>
      </c>
      <c r="C1668">
        <f ca="1">SUM($B$2:B1668)/A1668</f>
        <v>115.11842468927152</v>
      </c>
      <c r="E1668">
        <v>1666</v>
      </c>
      <c r="F1668" s="11">
        <f t="shared" si="107"/>
        <v>0</v>
      </c>
      <c r="G1668">
        <f ca="1">SUM($F$2:F1668)/E1668</f>
        <v>117.16432472695381</v>
      </c>
      <c r="I1668">
        <v>1666</v>
      </c>
      <c r="J1668">
        <f t="shared" si="108"/>
        <v>0</v>
      </c>
      <c r="K1668">
        <f ca="1">SUM($J$2:J1668)/I1668</f>
        <v>115.11842468927152</v>
      </c>
      <c r="M1668">
        <v>1666</v>
      </c>
      <c r="N1668">
        <f t="shared" si="109"/>
        <v>0</v>
      </c>
      <c r="O1668">
        <f ca="1">SUM($N$2:N1668)/M1668</f>
        <v>117.16432472695381</v>
      </c>
    </row>
    <row r="1669" spans="1:15" x14ac:dyDescent="0.2">
      <c r="A1669">
        <v>1667</v>
      </c>
      <c r="B1669" s="11">
        <f t="shared" si="106"/>
        <v>0</v>
      </c>
      <c r="C1669">
        <f ca="1">SUM($B$2:B1669)/A1669</f>
        <v>115.04936744590664</v>
      </c>
      <c r="E1669">
        <v>1667</v>
      </c>
      <c r="F1669" s="11">
        <f t="shared" si="107"/>
        <v>0</v>
      </c>
      <c r="G1669">
        <f ca="1">SUM($F$2:F1669)/E1669</f>
        <v>117.09404018902522</v>
      </c>
      <c r="I1669">
        <v>1667</v>
      </c>
      <c r="J1669">
        <f t="shared" si="108"/>
        <v>0</v>
      </c>
      <c r="K1669">
        <f ca="1">SUM($J$2:J1669)/I1669</f>
        <v>115.04936744590664</v>
      </c>
      <c r="M1669">
        <v>1667</v>
      </c>
      <c r="N1669">
        <f t="shared" si="109"/>
        <v>0</v>
      </c>
      <c r="O1669">
        <f ca="1">SUM($N$2:N1669)/M1669</f>
        <v>117.09404018902522</v>
      </c>
    </row>
    <row r="1670" spans="1:15" x14ac:dyDescent="0.2">
      <c r="A1670">
        <v>1668</v>
      </c>
      <c r="B1670" s="11">
        <f t="shared" si="106"/>
        <v>0</v>
      </c>
      <c r="C1670">
        <f ca="1">SUM($B$2:B1670)/A1670</f>
        <v>114.98039300499183</v>
      </c>
      <c r="E1670">
        <v>1668</v>
      </c>
      <c r="F1670" s="11">
        <f t="shared" si="107"/>
        <v>0</v>
      </c>
      <c r="G1670">
        <f ca="1">SUM($F$2:F1670)/E1670</f>
        <v>117.02383992512293</v>
      </c>
      <c r="I1670">
        <v>1668</v>
      </c>
      <c r="J1670">
        <f t="shared" si="108"/>
        <v>0</v>
      </c>
      <c r="K1670">
        <f ca="1">SUM($J$2:J1670)/I1670</f>
        <v>114.98039300499183</v>
      </c>
      <c r="M1670">
        <v>1668</v>
      </c>
      <c r="N1670">
        <f t="shared" si="109"/>
        <v>0</v>
      </c>
      <c r="O1670">
        <f ca="1">SUM($N$2:N1670)/M1670</f>
        <v>117.02383992512293</v>
      </c>
    </row>
    <row r="1671" spans="1:15" x14ac:dyDescent="0.2">
      <c r="A1671">
        <v>1669</v>
      </c>
      <c r="B1671" s="11">
        <f t="shared" si="106"/>
        <v>0</v>
      </c>
      <c r="C1671">
        <f ca="1">SUM($B$2:B1671)/A1671</f>
        <v>114.91150121769105</v>
      </c>
      <c r="E1671">
        <v>1669</v>
      </c>
      <c r="F1671" s="11">
        <f t="shared" si="107"/>
        <v>0</v>
      </c>
      <c r="G1671">
        <f ca="1">SUM($F$2:F1671)/E1671</f>
        <v>116.95372378376575</v>
      </c>
      <c r="I1671">
        <v>1669</v>
      </c>
      <c r="J1671">
        <f t="shared" si="108"/>
        <v>0</v>
      </c>
      <c r="K1671">
        <f ca="1">SUM($J$2:J1671)/I1671</f>
        <v>114.91150121769105</v>
      </c>
      <c r="M1671">
        <v>1669</v>
      </c>
      <c r="N1671">
        <f t="shared" si="109"/>
        <v>0</v>
      </c>
      <c r="O1671">
        <f ca="1">SUM($N$2:N1671)/M1671</f>
        <v>116.95372378376575</v>
      </c>
    </row>
    <row r="1672" spans="1:15" x14ac:dyDescent="0.2">
      <c r="A1672">
        <v>1670</v>
      </c>
      <c r="B1672" s="11">
        <f t="shared" si="106"/>
        <v>0</v>
      </c>
      <c r="C1672">
        <f ca="1">SUM($B$2:B1672)/A1672</f>
        <v>114.84269193552477</v>
      </c>
      <c r="E1672">
        <v>1670</v>
      </c>
      <c r="F1672" s="11">
        <f t="shared" si="107"/>
        <v>0</v>
      </c>
      <c r="G1672">
        <f ca="1">SUM($F$2:F1672)/E1672</f>
        <v>116.88369161383535</v>
      </c>
      <c r="I1672">
        <v>1670</v>
      </c>
      <c r="J1672">
        <f t="shared" si="108"/>
        <v>0</v>
      </c>
      <c r="K1672">
        <f ca="1">SUM($J$2:J1672)/I1672</f>
        <v>114.84269193552477</v>
      </c>
      <c r="M1672">
        <v>1670</v>
      </c>
      <c r="N1672">
        <f t="shared" si="109"/>
        <v>0</v>
      </c>
      <c r="O1672">
        <f ca="1">SUM($N$2:N1672)/M1672</f>
        <v>116.88369161383535</v>
      </c>
    </row>
    <row r="1673" spans="1:15" x14ac:dyDescent="0.2">
      <c r="A1673">
        <v>1671</v>
      </c>
      <c r="B1673" s="11">
        <f t="shared" si="106"/>
        <v>0</v>
      </c>
      <c r="C1673">
        <f ca="1">SUM($B$2:B1673)/A1673</f>
        <v>114.77396501036885</v>
      </c>
      <c r="E1673">
        <v>1671</v>
      </c>
      <c r="F1673" s="11">
        <f t="shared" si="107"/>
        <v>0</v>
      </c>
      <c r="G1673">
        <f ca="1">SUM($F$2:F1673)/E1673</f>
        <v>116.81374326457512</v>
      </c>
      <c r="I1673">
        <v>1671</v>
      </c>
      <c r="J1673">
        <f t="shared" si="108"/>
        <v>0</v>
      </c>
      <c r="K1673">
        <f ca="1">SUM($J$2:J1673)/I1673</f>
        <v>114.77396501036885</v>
      </c>
      <c r="M1673">
        <v>1671</v>
      </c>
      <c r="N1673">
        <f t="shared" si="109"/>
        <v>0</v>
      </c>
      <c r="O1673">
        <f ca="1">SUM($N$2:N1673)/M1673</f>
        <v>116.81374326457512</v>
      </c>
    </row>
    <row r="1674" spans="1:15" x14ac:dyDescent="0.2">
      <c r="A1674">
        <v>1672</v>
      </c>
      <c r="B1674" s="11">
        <f t="shared" si="106"/>
        <v>0</v>
      </c>
      <c r="C1674">
        <f ca="1">SUM($B$2:B1674)/A1674</f>
        <v>114.70532029445357</v>
      </c>
      <c r="E1674">
        <v>1672</v>
      </c>
      <c r="F1674" s="11">
        <f t="shared" si="107"/>
        <v>0</v>
      </c>
      <c r="G1674">
        <f ca="1">SUM($F$2:F1674)/E1674</f>
        <v>116.74387858558914</v>
      </c>
      <c r="I1674">
        <v>1672</v>
      </c>
      <c r="J1674">
        <f t="shared" si="108"/>
        <v>0</v>
      </c>
      <c r="K1674">
        <f ca="1">SUM($J$2:J1674)/I1674</f>
        <v>114.70532029445357</v>
      </c>
      <c r="M1674">
        <v>1672</v>
      </c>
      <c r="N1674">
        <f t="shared" si="109"/>
        <v>0</v>
      </c>
      <c r="O1674">
        <f ca="1">SUM($N$2:N1674)/M1674</f>
        <v>116.74387858558914</v>
      </c>
    </row>
    <row r="1675" spans="1:15" x14ac:dyDescent="0.2">
      <c r="A1675">
        <v>1673</v>
      </c>
      <c r="B1675" s="11">
        <f t="shared" si="106"/>
        <v>0</v>
      </c>
      <c r="C1675">
        <f ca="1">SUM($B$2:B1675)/A1675</f>
        <v>114.63675764036243</v>
      </c>
      <c r="E1675">
        <v>1673</v>
      </c>
      <c r="F1675" s="11">
        <f t="shared" si="107"/>
        <v>0</v>
      </c>
      <c r="G1675">
        <f ca="1">SUM($F$2:F1675)/E1675</f>
        <v>116.67409742684103</v>
      </c>
      <c r="I1675">
        <v>1673</v>
      </c>
      <c r="J1675">
        <f t="shared" si="108"/>
        <v>0</v>
      </c>
      <c r="K1675">
        <f ca="1">SUM($J$2:J1675)/I1675</f>
        <v>114.63675764036243</v>
      </c>
      <c r="M1675">
        <v>1673</v>
      </c>
      <c r="N1675">
        <f t="shared" si="109"/>
        <v>0</v>
      </c>
      <c r="O1675">
        <f ca="1">SUM($N$2:N1675)/M1675</f>
        <v>116.67409742684103</v>
      </c>
    </row>
    <row r="1676" spans="1:15" x14ac:dyDescent="0.2">
      <c r="A1676">
        <v>1674</v>
      </c>
      <c r="B1676" s="11">
        <f t="shared" si="106"/>
        <v>0</v>
      </c>
      <c r="C1676">
        <f ca="1">SUM($B$2:B1676)/A1676</f>
        <v>114.56827690103128</v>
      </c>
      <c r="E1676">
        <v>1674</v>
      </c>
      <c r="F1676" s="11">
        <f t="shared" si="107"/>
        <v>0</v>
      </c>
      <c r="G1676">
        <f ca="1">SUM($F$2:F1676)/E1676</f>
        <v>116.60439963865295</v>
      </c>
      <c r="I1676">
        <v>1674</v>
      </c>
      <c r="J1676">
        <f t="shared" si="108"/>
        <v>0</v>
      </c>
      <c r="K1676">
        <f ca="1">SUM($J$2:J1676)/I1676</f>
        <v>114.56827690103128</v>
      </c>
      <c r="M1676">
        <v>1674</v>
      </c>
      <c r="N1676">
        <f t="shared" si="109"/>
        <v>0</v>
      </c>
      <c r="O1676">
        <f ca="1">SUM($N$2:N1676)/M1676</f>
        <v>116.60439963865295</v>
      </c>
    </row>
    <row r="1677" spans="1:15" x14ac:dyDescent="0.2">
      <c r="A1677">
        <v>1675</v>
      </c>
      <c r="B1677" s="11">
        <f t="shared" si="106"/>
        <v>0</v>
      </c>
      <c r="C1677">
        <f ca="1">SUM($B$2:B1677)/A1677</f>
        <v>114.49987792974709</v>
      </c>
      <c r="E1677">
        <v>1675</v>
      </c>
      <c r="F1677" s="11">
        <f t="shared" si="107"/>
        <v>0</v>
      </c>
      <c r="G1677">
        <f ca="1">SUM($F$2:F1677)/E1677</f>
        <v>116.5347850717045</v>
      </c>
      <c r="I1677">
        <v>1675</v>
      </c>
      <c r="J1677">
        <f t="shared" si="108"/>
        <v>0</v>
      </c>
      <c r="K1677">
        <f ca="1">SUM($J$2:J1677)/I1677</f>
        <v>114.49987792974709</v>
      </c>
      <c r="M1677">
        <v>1675</v>
      </c>
      <c r="N1677">
        <f t="shared" si="109"/>
        <v>0</v>
      </c>
      <c r="O1677">
        <f ca="1">SUM($N$2:N1677)/M1677</f>
        <v>116.5347850717045</v>
      </c>
    </row>
    <row r="1678" spans="1:15" x14ac:dyDescent="0.2">
      <c r="A1678">
        <v>1676</v>
      </c>
      <c r="B1678" s="11">
        <f t="shared" si="106"/>
        <v>0</v>
      </c>
      <c r="C1678">
        <f ca="1">SUM($B$2:B1678)/A1678</f>
        <v>114.43156058014699</v>
      </c>
      <c r="E1678">
        <v>1676</v>
      </c>
      <c r="F1678" s="11">
        <f t="shared" si="107"/>
        <v>0</v>
      </c>
      <c r="G1678">
        <f ca="1">SUM($F$2:F1678)/E1678</f>
        <v>116.46525357703165</v>
      </c>
      <c r="I1678">
        <v>1676</v>
      </c>
      <c r="J1678">
        <f t="shared" si="108"/>
        <v>0</v>
      </c>
      <c r="K1678">
        <f ca="1">SUM($J$2:J1678)/I1678</f>
        <v>114.43156058014699</v>
      </c>
      <c r="M1678">
        <v>1676</v>
      </c>
      <c r="N1678">
        <f t="shared" si="109"/>
        <v>0</v>
      </c>
      <c r="O1678">
        <f ca="1">SUM($N$2:N1678)/M1678</f>
        <v>116.46525357703165</v>
      </c>
    </row>
    <row r="1679" spans="1:15" x14ac:dyDescent="0.2">
      <c r="A1679">
        <v>1677</v>
      </c>
      <c r="B1679" s="11">
        <f t="shared" si="106"/>
        <v>0</v>
      </c>
      <c r="C1679">
        <f ca="1">SUM($B$2:B1679)/A1679</f>
        <v>114.36332470621727</v>
      </c>
      <c r="E1679">
        <v>1677</v>
      </c>
      <c r="F1679" s="11">
        <f t="shared" si="107"/>
        <v>0</v>
      </c>
      <c r="G1679">
        <f ca="1">SUM($F$2:F1679)/E1679</f>
        <v>116.39580500602567</v>
      </c>
      <c r="I1679">
        <v>1677</v>
      </c>
      <c r="J1679">
        <f t="shared" si="108"/>
        <v>0</v>
      </c>
      <c r="K1679">
        <f ca="1">SUM($J$2:J1679)/I1679</f>
        <v>114.36332470621727</v>
      </c>
      <c r="M1679">
        <v>1677</v>
      </c>
      <c r="N1679">
        <f t="shared" si="109"/>
        <v>0</v>
      </c>
      <c r="O1679">
        <f ca="1">SUM($N$2:N1679)/M1679</f>
        <v>116.39580500602567</v>
      </c>
    </row>
    <row r="1680" spans="1:15" x14ac:dyDescent="0.2">
      <c r="A1680">
        <v>1678</v>
      </c>
      <c r="B1680" s="11">
        <f t="shared" si="106"/>
        <v>0</v>
      </c>
      <c r="C1680">
        <f ca="1">SUM($B$2:B1680)/A1680</f>
        <v>114.29517016229222</v>
      </c>
      <c r="E1680">
        <v>1678</v>
      </c>
      <c r="F1680" s="11">
        <f t="shared" si="107"/>
        <v>0</v>
      </c>
      <c r="G1680">
        <f ca="1">SUM($F$2:F1680)/E1680</f>
        <v>116.32643921043208</v>
      </c>
      <c r="I1680">
        <v>1678</v>
      </c>
      <c r="J1680">
        <f t="shared" si="108"/>
        <v>0</v>
      </c>
      <c r="K1680">
        <f ca="1">SUM($J$2:J1680)/I1680</f>
        <v>114.29517016229222</v>
      </c>
      <c r="M1680">
        <v>1678</v>
      </c>
      <c r="N1680">
        <f t="shared" si="109"/>
        <v>0</v>
      </c>
      <c r="O1680">
        <f ca="1">SUM($N$2:N1680)/M1680</f>
        <v>116.32643921043208</v>
      </c>
    </row>
    <row r="1681" spans="1:15" x14ac:dyDescent="0.2">
      <c r="A1681">
        <v>1679</v>
      </c>
      <c r="B1681" s="11">
        <f t="shared" si="106"/>
        <v>0</v>
      </c>
      <c r="C1681">
        <f ca="1">SUM($B$2:B1681)/A1681</f>
        <v>114.22709680305323</v>
      </c>
      <c r="E1681">
        <v>1679</v>
      </c>
      <c r="F1681" s="11">
        <f t="shared" si="107"/>
        <v>0</v>
      </c>
      <c r="G1681">
        <f ca="1">SUM($F$2:F1681)/E1681</f>
        <v>116.25715604234964</v>
      </c>
      <c r="I1681">
        <v>1679</v>
      </c>
      <c r="J1681">
        <f t="shared" si="108"/>
        <v>0</v>
      </c>
      <c r="K1681">
        <f ca="1">SUM($J$2:J1681)/I1681</f>
        <v>114.22709680305323</v>
      </c>
      <c r="M1681">
        <v>1679</v>
      </c>
      <c r="N1681">
        <f t="shared" si="109"/>
        <v>0</v>
      </c>
      <c r="O1681">
        <f ca="1">SUM($N$2:N1681)/M1681</f>
        <v>116.25715604234964</v>
      </c>
    </row>
    <row r="1682" spans="1:15" x14ac:dyDescent="0.2">
      <c r="A1682">
        <v>1680</v>
      </c>
      <c r="B1682" s="11">
        <f t="shared" si="106"/>
        <v>0</v>
      </c>
      <c r="C1682">
        <f ca="1">SUM($B$2:B1682)/A1682</f>
        <v>114.1591044835276</v>
      </c>
      <c r="E1682">
        <v>1680</v>
      </c>
      <c r="F1682" s="11">
        <f t="shared" si="107"/>
        <v>0</v>
      </c>
      <c r="G1682">
        <f ca="1">SUM($F$2:F1682)/E1682</f>
        <v>116.18795535422919</v>
      </c>
      <c r="I1682">
        <v>1680</v>
      </c>
      <c r="J1682">
        <f t="shared" si="108"/>
        <v>0</v>
      </c>
      <c r="K1682">
        <f ca="1">SUM($J$2:J1682)/I1682</f>
        <v>114.1591044835276</v>
      </c>
      <c r="M1682">
        <v>1680</v>
      </c>
      <c r="N1682">
        <f t="shared" si="109"/>
        <v>0</v>
      </c>
      <c r="O1682">
        <f ca="1">SUM($N$2:N1682)/M1682</f>
        <v>116.18795535422919</v>
      </c>
    </row>
    <row r="1683" spans="1:15" x14ac:dyDescent="0.2">
      <c r="A1683">
        <v>1681</v>
      </c>
      <c r="B1683" s="11">
        <f t="shared" si="106"/>
        <v>0</v>
      </c>
      <c r="C1683">
        <f ca="1">SUM($B$2:B1683)/A1683</f>
        <v>114.09119305908766</v>
      </c>
      <c r="E1683">
        <v>1681</v>
      </c>
      <c r="F1683" s="11">
        <f t="shared" si="107"/>
        <v>0</v>
      </c>
      <c r="G1683">
        <f ca="1">SUM($F$2:F1683)/E1683</f>
        <v>116.11883699887272</v>
      </c>
      <c r="I1683">
        <v>1681</v>
      </c>
      <c r="J1683">
        <f t="shared" si="108"/>
        <v>0</v>
      </c>
      <c r="K1683">
        <f ca="1">SUM($J$2:J1683)/I1683</f>
        <v>114.09119305908766</v>
      </c>
      <c r="M1683">
        <v>1681</v>
      </c>
      <c r="N1683">
        <f t="shared" si="109"/>
        <v>0</v>
      </c>
      <c r="O1683">
        <f ca="1">SUM($N$2:N1683)/M1683</f>
        <v>116.11883699887272</v>
      </c>
    </row>
    <row r="1684" spans="1:15" x14ac:dyDescent="0.2">
      <c r="A1684">
        <v>1682</v>
      </c>
      <c r="B1684" s="11">
        <f t="shared" si="106"/>
        <v>0</v>
      </c>
      <c r="C1684">
        <f ca="1">SUM($B$2:B1684)/A1684</f>
        <v>114.02336238544967</v>
      </c>
      <c r="E1684">
        <v>1682</v>
      </c>
      <c r="F1684" s="11">
        <f t="shared" si="107"/>
        <v>0</v>
      </c>
      <c r="G1684">
        <f ca="1">SUM($F$2:F1684)/E1684</f>
        <v>116.04980082943224</v>
      </c>
      <c r="I1684">
        <v>1682</v>
      </c>
      <c r="J1684">
        <f t="shared" si="108"/>
        <v>0</v>
      </c>
      <c r="K1684">
        <f ca="1">SUM($J$2:J1684)/I1684</f>
        <v>114.02336238544967</v>
      </c>
      <c r="M1684">
        <v>1682</v>
      </c>
      <c r="N1684">
        <f t="shared" si="109"/>
        <v>0</v>
      </c>
      <c r="O1684">
        <f ca="1">SUM($N$2:N1684)/M1684</f>
        <v>116.04980082943224</v>
      </c>
    </row>
    <row r="1685" spans="1:15" x14ac:dyDescent="0.2">
      <c r="A1685">
        <v>1683</v>
      </c>
      <c r="B1685" s="11">
        <f t="shared" si="106"/>
        <v>0</v>
      </c>
      <c r="C1685">
        <f ca="1">SUM($B$2:B1685)/A1685</f>
        <v>113.95561231867282</v>
      </c>
      <c r="E1685">
        <v>1683</v>
      </c>
      <c r="F1685" s="11">
        <f t="shared" si="107"/>
        <v>0</v>
      </c>
      <c r="G1685">
        <f ca="1">SUM($F$2:F1685)/E1685</f>
        <v>115.98084669940881</v>
      </c>
      <c r="I1685">
        <v>1683</v>
      </c>
      <c r="J1685">
        <f t="shared" si="108"/>
        <v>0</v>
      </c>
      <c r="K1685">
        <f ca="1">SUM($J$2:J1685)/I1685</f>
        <v>113.95561231867282</v>
      </c>
      <c r="M1685">
        <v>1683</v>
      </c>
      <c r="N1685">
        <f t="shared" si="109"/>
        <v>0</v>
      </c>
      <c r="O1685">
        <f ca="1">SUM($N$2:N1685)/M1685</f>
        <v>115.98084669940881</v>
      </c>
    </row>
    <row r="1686" spans="1:15" x14ac:dyDescent="0.2">
      <c r="A1686">
        <v>1684</v>
      </c>
      <c r="B1686" s="11">
        <f t="shared" si="106"/>
        <v>0</v>
      </c>
      <c r="C1686">
        <f ca="1">SUM($B$2:B1686)/A1686</f>
        <v>113.88794271515818</v>
      </c>
      <c r="E1686">
        <v>1684</v>
      </c>
      <c r="F1686" s="11">
        <f t="shared" si="107"/>
        <v>0</v>
      </c>
      <c r="G1686">
        <f ca="1">SUM($F$2:F1686)/E1686</f>
        <v>115.91197446265144</v>
      </c>
      <c r="I1686">
        <v>1684</v>
      </c>
      <c r="J1686">
        <f t="shared" si="108"/>
        <v>0</v>
      </c>
      <c r="K1686">
        <f ca="1">SUM($J$2:J1686)/I1686</f>
        <v>113.88794271515818</v>
      </c>
      <c r="M1686">
        <v>1684</v>
      </c>
      <c r="N1686">
        <f t="shared" si="109"/>
        <v>0</v>
      </c>
      <c r="O1686">
        <f ca="1">SUM($N$2:N1686)/M1686</f>
        <v>115.91197446265144</v>
      </c>
    </row>
    <row r="1687" spans="1:15" x14ac:dyDescent="0.2">
      <c r="A1687">
        <v>1685</v>
      </c>
      <c r="B1687" s="11">
        <f t="shared" si="106"/>
        <v>0</v>
      </c>
      <c r="C1687">
        <f ca="1">SUM($B$2:B1687)/A1687</f>
        <v>113.82035343164769</v>
      </c>
      <c r="E1687">
        <v>1685</v>
      </c>
      <c r="F1687" s="11">
        <f t="shared" si="107"/>
        <v>0</v>
      </c>
      <c r="G1687">
        <f ca="1">SUM($F$2:F1687)/E1687</f>
        <v>115.8431839733561</v>
      </c>
      <c r="I1687">
        <v>1685</v>
      </c>
      <c r="J1687">
        <f t="shared" si="108"/>
        <v>0</v>
      </c>
      <c r="K1687">
        <f ca="1">SUM($J$2:J1687)/I1687</f>
        <v>113.82035343164769</v>
      </c>
      <c r="M1687">
        <v>1685</v>
      </c>
      <c r="N1687">
        <f t="shared" si="109"/>
        <v>0</v>
      </c>
      <c r="O1687">
        <f ca="1">SUM($N$2:N1687)/M1687</f>
        <v>115.8431839733561</v>
      </c>
    </row>
    <row r="1688" spans="1:15" x14ac:dyDescent="0.2">
      <c r="A1688">
        <v>1686</v>
      </c>
      <c r="B1688" s="11">
        <f t="shared" si="106"/>
        <v>0</v>
      </c>
      <c r="C1688">
        <f ca="1">SUM($B$2:B1688)/A1688</f>
        <v>113.75284432522322</v>
      </c>
      <c r="E1688">
        <v>1686</v>
      </c>
      <c r="F1688" s="11">
        <f t="shared" si="107"/>
        <v>0</v>
      </c>
      <c r="G1688">
        <f ca="1">SUM($F$2:F1688)/E1688</f>
        <v>115.77447508606467</v>
      </c>
      <c r="I1688">
        <v>1686</v>
      </c>
      <c r="J1688">
        <f t="shared" si="108"/>
        <v>0</v>
      </c>
      <c r="K1688">
        <f ca="1">SUM($J$2:J1688)/I1688</f>
        <v>113.75284432522322</v>
      </c>
      <c r="M1688">
        <v>1686</v>
      </c>
      <c r="N1688">
        <f t="shared" si="109"/>
        <v>0</v>
      </c>
      <c r="O1688">
        <f ca="1">SUM($N$2:N1688)/M1688</f>
        <v>115.77447508606467</v>
      </c>
    </row>
    <row r="1689" spans="1:15" x14ac:dyDescent="0.2">
      <c r="A1689">
        <v>1687</v>
      </c>
      <c r="B1689" s="11">
        <f t="shared" si="106"/>
        <v>0</v>
      </c>
      <c r="C1689">
        <f ca="1">SUM($B$2:B1689)/A1689</f>
        <v>113.68541525330549</v>
      </c>
      <c r="E1689">
        <v>1687</v>
      </c>
      <c r="F1689" s="11">
        <f t="shared" si="107"/>
        <v>0</v>
      </c>
      <c r="G1689">
        <f ca="1">SUM($F$2:F1689)/E1689</f>
        <v>115.70584765566393</v>
      </c>
      <c r="I1689">
        <v>1687</v>
      </c>
      <c r="J1689">
        <f t="shared" si="108"/>
        <v>0</v>
      </c>
      <c r="K1689">
        <f ca="1">SUM($J$2:J1689)/I1689</f>
        <v>113.68541525330549</v>
      </c>
      <c r="M1689">
        <v>1687</v>
      </c>
      <c r="N1689">
        <f t="shared" si="109"/>
        <v>0</v>
      </c>
      <c r="O1689">
        <f ca="1">SUM($N$2:N1689)/M1689</f>
        <v>115.70584765566393</v>
      </c>
    </row>
    <row r="1690" spans="1:15" x14ac:dyDescent="0.2">
      <c r="A1690">
        <v>1688</v>
      </c>
      <c r="B1690" s="11">
        <f t="shared" si="106"/>
        <v>0</v>
      </c>
      <c r="C1690">
        <f ca="1">SUM($B$2:B1690)/A1690</f>
        <v>113.61806607365305</v>
      </c>
      <c r="E1690">
        <v>1688</v>
      </c>
      <c r="F1690" s="11">
        <f t="shared" si="107"/>
        <v>0</v>
      </c>
      <c r="G1690">
        <f ca="1">SUM($F$2:F1690)/E1690</f>
        <v>115.6373015373845</v>
      </c>
      <c r="I1690">
        <v>1688</v>
      </c>
      <c r="J1690">
        <f t="shared" si="108"/>
        <v>0</v>
      </c>
      <c r="K1690">
        <f ca="1">SUM($J$2:J1690)/I1690</f>
        <v>113.61806607365305</v>
      </c>
      <c r="M1690">
        <v>1688</v>
      </c>
      <c r="N1690">
        <f t="shared" si="109"/>
        <v>0</v>
      </c>
      <c r="O1690">
        <f ca="1">SUM($N$2:N1690)/M1690</f>
        <v>115.6373015373845</v>
      </c>
    </row>
    <row r="1691" spans="1:15" x14ac:dyDescent="0.2">
      <c r="A1691">
        <v>1689</v>
      </c>
      <c r="B1691" s="11">
        <f t="shared" si="106"/>
        <v>0</v>
      </c>
      <c r="C1691">
        <f ca="1">SUM($B$2:B1691)/A1691</f>
        <v>113.55079664436137</v>
      </c>
      <c r="E1691">
        <v>1689</v>
      </c>
      <c r="F1691" s="11">
        <f t="shared" si="107"/>
        <v>0</v>
      </c>
      <c r="G1691">
        <f ca="1">SUM($F$2:F1691)/E1691</f>
        <v>115.5688365867999</v>
      </c>
      <c r="I1691">
        <v>1689</v>
      </c>
      <c r="J1691">
        <f t="shared" si="108"/>
        <v>0</v>
      </c>
      <c r="K1691">
        <f ca="1">SUM($J$2:J1691)/I1691</f>
        <v>113.55079664436137</v>
      </c>
      <c r="M1691">
        <v>1689</v>
      </c>
      <c r="N1691">
        <f t="shared" si="109"/>
        <v>0</v>
      </c>
      <c r="O1691">
        <f ca="1">SUM($N$2:N1691)/M1691</f>
        <v>115.5688365867999</v>
      </c>
    </row>
    <row r="1692" spans="1:15" x14ac:dyDescent="0.2">
      <c r="A1692">
        <v>1690</v>
      </c>
      <c r="B1692" s="11">
        <f t="shared" si="106"/>
        <v>0</v>
      </c>
      <c r="C1692">
        <f ca="1">SUM($B$2:B1692)/A1692</f>
        <v>113.48360682386175</v>
      </c>
      <c r="E1692">
        <v>1690</v>
      </c>
      <c r="F1692" s="11">
        <f t="shared" si="107"/>
        <v>0</v>
      </c>
      <c r="G1692">
        <f ca="1">SUM($F$2:F1692)/E1692</f>
        <v>115.50045265982547</v>
      </c>
      <c r="I1692">
        <v>1690</v>
      </c>
      <c r="J1692">
        <f t="shared" si="108"/>
        <v>0</v>
      </c>
      <c r="K1692">
        <f ca="1">SUM($J$2:J1692)/I1692</f>
        <v>113.48360682386175</v>
      </c>
      <c r="M1692">
        <v>1690</v>
      </c>
      <c r="N1692">
        <f t="shared" si="109"/>
        <v>0</v>
      </c>
      <c r="O1692">
        <f ca="1">SUM($N$2:N1692)/M1692</f>
        <v>115.50045265982547</v>
      </c>
    </row>
    <row r="1693" spans="1:15" x14ac:dyDescent="0.2">
      <c r="A1693">
        <v>1691</v>
      </c>
      <c r="B1693" s="11">
        <f t="shared" si="106"/>
        <v>0</v>
      </c>
      <c r="C1693">
        <f ca="1">SUM($B$2:B1693)/A1693</f>
        <v>113.41649647092038</v>
      </c>
      <c r="E1693">
        <v>1691</v>
      </c>
      <c r="F1693" s="11">
        <f t="shared" si="107"/>
        <v>0</v>
      </c>
      <c r="G1693">
        <f ca="1">SUM($F$2:F1693)/E1693</f>
        <v>115.43214961271735</v>
      </c>
      <c r="I1693">
        <v>1691</v>
      </c>
      <c r="J1693">
        <f t="shared" si="108"/>
        <v>0</v>
      </c>
      <c r="K1693">
        <f ca="1">SUM($J$2:J1693)/I1693</f>
        <v>113.41649647092038</v>
      </c>
      <c r="M1693">
        <v>1691</v>
      </c>
      <c r="N1693">
        <f t="shared" si="109"/>
        <v>0</v>
      </c>
      <c r="O1693">
        <f ca="1">SUM($N$2:N1693)/M1693</f>
        <v>115.43214961271735</v>
      </c>
    </row>
    <row r="1694" spans="1:15" x14ac:dyDescent="0.2">
      <c r="A1694">
        <v>1692</v>
      </c>
      <c r="B1694" s="11">
        <f t="shared" si="106"/>
        <v>0</v>
      </c>
      <c r="C1694">
        <f ca="1">SUM($B$2:B1694)/A1694</f>
        <v>113.34946544463733</v>
      </c>
      <c r="E1694">
        <v>1692</v>
      </c>
      <c r="F1694" s="11">
        <f t="shared" si="107"/>
        <v>0</v>
      </c>
      <c r="G1694">
        <f ca="1">SUM($F$2:F1694)/E1694</f>
        <v>115.36392730207153</v>
      </c>
      <c r="I1694">
        <v>1692</v>
      </c>
      <c r="J1694">
        <f t="shared" si="108"/>
        <v>0</v>
      </c>
      <c r="K1694">
        <f ca="1">SUM($J$2:J1694)/I1694</f>
        <v>113.34946544463733</v>
      </c>
      <c r="M1694">
        <v>1692</v>
      </c>
      <c r="N1694">
        <f t="shared" si="109"/>
        <v>0</v>
      </c>
      <c r="O1694">
        <f ca="1">SUM($N$2:N1694)/M1694</f>
        <v>115.36392730207153</v>
      </c>
    </row>
    <row r="1695" spans="1:15" x14ac:dyDescent="0.2">
      <c r="A1695">
        <v>1693</v>
      </c>
      <c r="B1695" s="11">
        <f t="shared" si="106"/>
        <v>0</v>
      </c>
      <c r="C1695">
        <f ca="1">SUM($B$2:B1695)/A1695</f>
        <v>113.28251360444557</v>
      </c>
      <c r="E1695">
        <v>1693</v>
      </c>
      <c r="F1695" s="11">
        <f t="shared" si="107"/>
        <v>0</v>
      </c>
      <c r="G1695">
        <f ca="1">SUM($F$2:F1695)/E1695</f>
        <v>115.29578558482282</v>
      </c>
      <c r="I1695">
        <v>1693</v>
      </c>
      <c r="J1695">
        <f t="shared" si="108"/>
        <v>0</v>
      </c>
      <c r="K1695">
        <f ca="1">SUM($J$2:J1695)/I1695</f>
        <v>113.28251360444557</v>
      </c>
      <c r="M1695">
        <v>1693</v>
      </c>
      <c r="N1695">
        <f t="shared" si="109"/>
        <v>0</v>
      </c>
      <c r="O1695">
        <f ca="1">SUM($N$2:N1695)/M1695</f>
        <v>115.29578558482282</v>
      </c>
    </row>
    <row r="1696" spans="1:15" x14ac:dyDescent="0.2">
      <c r="A1696">
        <v>1694</v>
      </c>
      <c r="B1696" s="11">
        <f t="shared" si="106"/>
        <v>0</v>
      </c>
      <c r="C1696">
        <f ca="1">SUM($B$2:B1696)/A1696</f>
        <v>113.21564081011002</v>
      </c>
      <c r="E1696">
        <v>1694</v>
      </c>
      <c r="F1696" s="11">
        <f t="shared" si="107"/>
        <v>0</v>
      </c>
      <c r="G1696">
        <f ca="1">SUM($F$2:F1696)/E1696</f>
        <v>115.22772431824383</v>
      </c>
      <c r="I1696">
        <v>1694</v>
      </c>
      <c r="J1696">
        <f t="shared" si="108"/>
        <v>0</v>
      </c>
      <c r="K1696">
        <f ca="1">SUM($J$2:J1696)/I1696</f>
        <v>113.21564081011002</v>
      </c>
      <c r="M1696">
        <v>1694</v>
      </c>
      <c r="N1696">
        <f t="shared" si="109"/>
        <v>0</v>
      </c>
      <c r="O1696">
        <f ca="1">SUM($N$2:N1696)/M1696</f>
        <v>115.22772431824383</v>
      </c>
    </row>
    <row r="1697" spans="1:15" x14ac:dyDescent="0.2">
      <c r="A1697">
        <v>1695</v>
      </c>
      <c r="B1697" s="11">
        <f t="shared" si="106"/>
        <v>0</v>
      </c>
      <c r="C1697">
        <f ca="1">SUM($B$2:B1697)/A1697</f>
        <v>113.14884692172646</v>
      </c>
      <c r="E1697">
        <v>1695</v>
      </c>
      <c r="F1697" s="11">
        <f t="shared" si="107"/>
        <v>0</v>
      </c>
      <c r="G1697">
        <f ca="1">SUM($F$2:F1697)/E1697</f>
        <v>115.15974335994397</v>
      </c>
      <c r="I1697">
        <v>1695</v>
      </c>
      <c r="J1697">
        <f t="shared" si="108"/>
        <v>0</v>
      </c>
      <c r="K1697">
        <f ca="1">SUM($J$2:J1697)/I1697</f>
        <v>113.14884692172646</v>
      </c>
      <c r="M1697">
        <v>1695</v>
      </c>
      <c r="N1697">
        <f t="shared" si="109"/>
        <v>0</v>
      </c>
      <c r="O1697">
        <f ca="1">SUM($N$2:N1697)/M1697</f>
        <v>115.15974335994397</v>
      </c>
    </row>
    <row r="1698" spans="1:15" x14ac:dyDescent="0.2">
      <c r="A1698">
        <v>1696</v>
      </c>
      <c r="B1698" s="11">
        <f t="shared" si="106"/>
        <v>0</v>
      </c>
      <c r="C1698">
        <f ca="1">SUM($B$2:B1698)/A1698</f>
        <v>113.08213179972073</v>
      </c>
      <c r="E1698">
        <v>1696</v>
      </c>
      <c r="F1698" s="11">
        <f t="shared" si="107"/>
        <v>0</v>
      </c>
      <c r="G1698">
        <f ca="1">SUM($F$2:F1698)/E1698</f>
        <v>115.09184256786854</v>
      </c>
      <c r="I1698">
        <v>1696</v>
      </c>
      <c r="J1698">
        <f t="shared" si="108"/>
        <v>0</v>
      </c>
      <c r="K1698">
        <f ca="1">SUM($J$2:J1698)/I1698</f>
        <v>113.08213179972073</v>
      </c>
      <c r="M1698">
        <v>1696</v>
      </c>
      <c r="N1698">
        <f t="shared" si="109"/>
        <v>0</v>
      </c>
      <c r="O1698">
        <f ca="1">SUM($N$2:N1698)/M1698</f>
        <v>115.09184256786854</v>
      </c>
    </row>
    <row r="1699" spans="1:15" x14ac:dyDescent="0.2">
      <c r="A1699">
        <v>1697</v>
      </c>
      <c r="B1699" s="11">
        <f t="shared" si="106"/>
        <v>0</v>
      </c>
      <c r="C1699">
        <f ca="1">SUM($B$2:B1699)/A1699</f>
        <v>113.01549530484759</v>
      </c>
      <c r="E1699">
        <v>1697</v>
      </c>
      <c r="F1699" s="11">
        <f t="shared" si="107"/>
        <v>0</v>
      </c>
      <c r="G1699">
        <f ca="1">SUM($F$2:F1699)/E1699</f>
        <v>115.0240218002976</v>
      </c>
      <c r="I1699">
        <v>1697</v>
      </c>
      <c r="J1699">
        <f t="shared" si="108"/>
        <v>0</v>
      </c>
      <c r="K1699">
        <f ca="1">SUM($J$2:J1699)/I1699</f>
        <v>113.01549530484759</v>
      </c>
      <c r="M1699">
        <v>1697</v>
      </c>
      <c r="N1699">
        <f t="shared" si="109"/>
        <v>0</v>
      </c>
      <c r="O1699">
        <f ca="1">SUM($N$2:N1699)/M1699</f>
        <v>115.0240218002976</v>
      </c>
    </row>
    <row r="1700" spans="1:15" x14ac:dyDescent="0.2">
      <c r="A1700">
        <v>1698</v>
      </c>
      <c r="B1700" s="11">
        <f t="shared" si="106"/>
        <v>0</v>
      </c>
      <c r="C1700">
        <f ca="1">SUM($B$2:B1700)/A1700</f>
        <v>112.94893729818985</v>
      </c>
      <c r="E1700">
        <v>1698</v>
      </c>
      <c r="F1700" s="11">
        <f t="shared" si="107"/>
        <v>0</v>
      </c>
      <c r="G1700">
        <f ca="1">SUM($F$2:F1700)/E1700</f>
        <v>114.95628091584514</v>
      </c>
      <c r="I1700">
        <v>1698</v>
      </c>
      <c r="J1700">
        <f t="shared" si="108"/>
        <v>0</v>
      </c>
      <c r="K1700">
        <f ca="1">SUM($J$2:J1700)/I1700</f>
        <v>112.94893729818985</v>
      </c>
      <c r="M1700">
        <v>1698</v>
      </c>
      <c r="N1700">
        <f t="shared" si="109"/>
        <v>0</v>
      </c>
      <c r="O1700">
        <f ca="1">SUM($N$2:N1700)/M1700</f>
        <v>114.95628091584514</v>
      </c>
    </row>
    <row r="1701" spans="1:15" x14ac:dyDescent="0.2">
      <c r="A1701">
        <v>1699</v>
      </c>
      <c r="B1701" s="11">
        <f t="shared" si="106"/>
        <v>0</v>
      </c>
      <c r="C1701">
        <f ca="1">SUM($B$2:B1701)/A1701</f>
        <v>112.88245764115736</v>
      </c>
      <c r="E1701">
        <v>1699</v>
      </c>
      <c r="F1701" s="11">
        <f t="shared" si="107"/>
        <v>0</v>
      </c>
      <c r="G1701">
        <f ca="1">SUM($F$2:F1701)/E1701</f>
        <v>114.88861977345795</v>
      </c>
      <c r="I1701">
        <v>1699</v>
      </c>
      <c r="J1701">
        <f t="shared" si="108"/>
        <v>0</v>
      </c>
      <c r="K1701">
        <f ca="1">SUM($J$2:J1701)/I1701</f>
        <v>112.88245764115736</v>
      </c>
      <c r="M1701">
        <v>1699</v>
      </c>
      <c r="N1701">
        <f t="shared" si="109"/>
        <v>0</v>
      </c>
      <c r="O1701">
        <f ca="1">SUM($N$2:N1701)/M1701</f>
        <v>114.88861977345795</v>
      </c>
    </row>
    <row r="1702" spans="1:15" x14ac:dyDescent="0.2">
      <c r="A1702">
        <v>1700</v>
      </c>
      <c r="B1702" s="11">
        <f t="shared" si="106"/>
        <v>0</v>
      </c>
      <c r="C1702">
        <f ca="1">SUM($B$2:B1702)/A1702</f>
        <v>112.8160561954861</v>
      </c>
      <c r="E1702">
        <v>1700</v>
      </c>
      <c r="F1702" s="11">
        <f t="shared" si="107"/>
        <v>0</v>
      </c>
      <c r="G1702">
        <f ca="1">SUM($F$2:F1702)/E1702</f>
        <v>114.82103823241474</v>
      </c>
      <c r="I1702">
        <v>1700</v>
      </c>
      <c r="J1702">
        <f t="shared" si="108"/>
        <v>0</v>
      </c>
      <c r="K1702">
        <f ca="1">SUM($J$2:J1702)/I1702</f>
        <v>112.8160561954861</v>
      </c>
      <c r="M1702">
        <v>1700</v>
      </c>
      <c r="N1702">
        <f t="shared" si="109"/>
        <v>0</v>
      </c>
      <c r="O1702">
        <f ca="1">SUM($N$2:N1702)/M1702</f>
        <v>114.82103823241474</v>
      </c>
    </row>
    <row r="1703" spans="1:15" x14ac:dyDescent="0.2">
      <c r="A1703">
        <v>1701</v>
      </c>
      <c r="B1703" s="11">
        <f t="shared" si="106"/>
        <v>0</v>
      </c>
      <c r="C1703">
        <f ca="1">SUM($B$2:B1703)/A1703</f>
        <v>112.74973282323712</v>
      </c>
      <c r="E1703">
        <v>1701</v>
      </c>
      <c r="F1703" s="11">
        <f t="shared" si="107"/>
        <v>0</v>
      </c>
      <c r="G1703">
        <f ca="1">SUM($F$2:F1703)/E1703</f>
        <v>114.75353615232513</v>
      </c>
      <c r="I1703">
        <v>1701</v>
      </c>
      <c r="J1703">
        <f t="shared" si="108"/>
        <v>0</v>
      </c>
      <c r="K1703">
        <f ca="1">SUM($J$2:J1703)/I1703</f>
        <v>112.74973282323712</v>
      </c>
      <c r="M1703">
        <v>1701</v>
      </c>
      <c r="N1703">
        <f t="shared" si="109"/>
        <v>0</v>
      </c>
      <c r="O1703">
        <f ca="1">SUM($N$2:N1703)/M1703</f>
        <v>114.75353615232513</v>
      </c>
    </row>
    <row r="1704" spans="1:15" x14ac:dyDescent="0.2">
      <c r="A1704">
        <v>1702</v>
      </c>
      <c r="B1704" s="11">
        <f t="shared" si="106"/>
        <v>0</v>
      </c>
      <c r="C1704">
        <f ca="1">SUM($B$2:B1704)/A1704</f>
        <v>112.68348738679575</v>
      </c>
      <c r="E1704">
        <v>1702</v>
      </c>
      <c r="F1704" s="11">
        <f t="shared" si="107"/>
        <v>0</v>
      </c>
      <c r="G1704">
        <f ca="1">SUM($F$2:F1704)/E1704</f>
        <v>114.68611339312869</v>
      </c>
      <c r="I1704">
        <v>1702</v>
      </c>
      <c r="J1704">
        <f t="shared" si="108"/>
        <v>0</v>
      </c>
      <c r="K1704">
        <f ca="1">SUM($J$2:J1704)/I1704</f>
        <v>112.68348738679575</v>
      </c>
      <c r="M1704">
        <v>1702</v>
      </c>
      <c r="N1704">
        <f t="shared" si="109"/>
        <v>0</v>
      </c>
      <c r="O1704">
        <f ca="1">SUM($N$2:N1704)/M1704</f>
        <v>114.68611339312869</v>
      </c>
    </row>
    <row r="1705" spans="1:15" x14ac:dyDescent="0.2">
      <c r="A1705">
        <v>1703</v>
      </c>
      <c r="B1705" s="11">
        <f t="shared" si="106"/>
        <v>0</v>
      </c>
      <c r="C1705">
        <f ca="1">SUM($B$2:B1705)/A1705</f>
        <v>112.61731974887044</v>
      </c>
      <c r="E1705">
        <v>1703</v>
      </c>
      <c r="F1705" s="11">
        <f t="shared" si="107"/>
        <v>0</v>
      </c>
      <c r="G1705">
        <f ca="1">SUM($F$2:F1705)/E1705</f>
        <v>114.61876981509397</v>
      </c>
      <c r="I1705">
        <v>1703</v>
      </c>
      <c r="J1705">
        <f t="shared" si="108"/>
        <v>0</v>
      </c>
      <c r="K1705">
        <f ca="1">SUM($J$2:J1705)/I1705</f>
        <v>112.61731974887044</v>
      </c>
      <c r="M1705">
        <v>1703</v>
      </c>
      <c r="N1705">
        <f t="shared" si="109"/>
        <v>0</v>
      </c>
      <c r="O1705">
        <f ca="1">SUM($N$2:N1705)/M1705</f>
        <v>114.61876981509397</v>
      </c>
    </row>
    <row r="1706" spans="1:15" x14ac:dyDescent="0.2">
      <c r="A1706">
        <v>1704</v>
      </c>
      <c r="B1706" s="11">
        <f t="shared" si="106"/>
        <v>0</v>
      </c>
      <c r="C1706">
        <f ca="1">SUM($B$2:B1706)/A1706</f>
        <v>112.55122977249199</v>
      </c>
      <c r="E1706">
        <v>1704</v>
      </c>
      <c r="F1706" s="11">
        <f t="shared" si="107"/>
        <v>0</v>
      </c>
      <c r="G1706">
        <f ca="1">SUM($F$2:F1706)/E1706</f>
        <v>114.55150527881752</v>
      </c>
      <c r="I1706">
        <v>1704</v>
      </c>
      <c r="J1706">
        <f t="shared" si="108"/>
        <v>0</v>
      </c>
      <c r="K1706">
        <f ca="1">SUM($J$2:J1706)/I1706</f>
        <v>112.55122977249199</v>
      </c>
      <c r="M1706">
        <v>1704</v>
      </c>
      <c r="N1706">
        <f t="shared" si="109"/>
        <v>0</v>
      </c>
      <c r="O1706">
        <f ca="1">SUM($N$2:N1706)/M1706</f>
        <v>114.55150527881752</v>
      </c>
    </row>
    <row r="1707" spans="1:15" x14ac:dyDescent="0.2">
      <c r="A1707">
        <v>1705</v>
      </c>
      <c r="B1707" s="11">
        <f t="shared" si="106"/>
        <v>0</v>
      </c>
      <c r="C1707">
        <f ca="1">SUM($B$2:B1707)/A1707</f>
        <v>112.48521732101253</v>
      </c>
      <c r="E1707">
        <v>1705</v>
      </c>
      <c r="F1707" s="11">
        <f t="shared" si="107"/>
        <v>0</v>
      </c>
      <c r="G1707">
        <f ca="1">SUM($F$2:F1707)/E1707</f>
        <v>114.4843196452229</v>
      </c>
      <c r="I1707">
        <v>1705</v>
      </c>
      <c r="J1707">
        <f t="shared" si="108"/>
        <v>0</v>
      </c>
      <c r="K1707">
        <f ca="1">SUM($J$2:J1707)/I1707</f>
        <v>112.48521732101253</v>
      </c>
      <c r="M1707">
        <v>1705</v>
      </c>
      <c r="N1707">
        <f t="shared" si="109"/>
        <v>0</v>
      </c>
      <c r="O1707">
        <f ca="1">SUM($N$2:N1707)/M1707</f>
        <v>114.4843196452229</v>
      </c>
    </row>
    <row r="1708" spans="1:15" x14ac:dyDescent="0.2">
      <c r="A1708">
        <v>1706</v>
      </c>
      <c r="B1708" s="11">
        <f t="shared" si="106"/>
        <v>0</v>
      </c>
      <c r="C1708">
        <f ca="1">SUM($B$2:B1708)/A1708</f>
        <v>112.41928225810454</v>
      </c>
      <c r="E1708">
        <v>1706</v>
      </c>
      <c r="F1708" s="11">
        <f t="shared" si="107"/>
        <v>0</v>
      </c>
      <c r="G1708">
        <f ca="1">SUM($F$2:F1708)/E1708</f>
        <v>114.41721277555982</v>
      </c>
      <c r="I1708">
        <v>1706</v>
      </c>
      <c r="J1708">
        <f t="shared" si="108"/>
        <v>0</v>
      </c>
      <c r="K1708">
        <f ca="1">SUM($J$2:J1708)/I1708</f>
        <v>112.41928225810454</v>
      </c>
      <c r="M1708">
        <v>1706</v>
      </c>
      <c r="N1708">
        <f t="shared" si="109"/>
        <v>0</v>
      </c>
      <c r="O1708">
        <f ca="1">SUM($N$2:N1708)/M1708</f>
        <v>114.41721277555982</v>
      </c>
    </row>
    <row r="1709" spans="1:15" x14ac:dyDescent="0.2">
      <c r="A1709">
        <v>1707</v>
      </c>
      <c r="B1709" s="11">
        <f t="shared" si="106"/>
        <v>0</v>
      </c>
      <c r="C1709">
        <f ca="1">SUM($B$2:B1709)/A1709</f>
        <v>112.35342444776002</v>
      </c>
      <c r="E1709">
        <v>1707</v>
      </c>
      <c r="F1709" s="11">
        <f t="shared" si="107"/>
        <v>0</v>
      </c>
      <c r="G1709">
        <f ca="1">SUM($F$2:F1709)/E1709</f>
        <v>114.35018453140307</v>
      </c>
      <c r="I1709">
        <v>1707</v>
      </c>
      <c r="J1709">
        <f t="shared" si="108"/>
        <v>0</v>
      </c>
      <c r="K1709">
        <f ca="1">SUM($J$2:J1709)/I1709</f>
        <v>112.35342444776002</v>
      </c>
      <c r="M1709">
        <v>1707</v>
      </c>
      <c r="N1709">
        <f t="shared" si="109"/>
        <v>0</v>
      </c>
      <c r="O1709">
        <f ca="1">SUM($N$2:N1709)/M1709</f>
        <v>114.35018453140307</v>
      </c>
    </row>
    <row r="1710" spans="1:15" x14ac:dyDescent="0.2">
      <c r="A1710">
        <v>1708</v>
      </c>
      <c r="B1710" s="11">
        <f t="shared" si="106"/>
        <v>0</v>
      </c>
      <c r="C1710">
        <f ca="1">SUM($B$2:B1710)/A1710</f>
        <v>112.28764375428943</v>
      </c>
      <c r="E1710">
        <v>1708</v>
      </c>
      <c r="F1710" s="11">
        <f t="shared" si="107"/>
        <v>0</v>
      </c>
      <c r="G1710">
        <f ca="1">SUM($F$2:F1710)/E1710</f>
        <v>114.28323477465166</v>
      </c>
      <c r="I1710">
        <v>1708</v>
      </c>
      <c r="J1710">
        <f t="shared" si="108"/>
        <v>0</v>
      </c>
      <c r="K1710">
        <f ca="1">SUM($J$2:J1710)/I1710</f>
        <v>112.28764375428943</v>
      </c>
      <c r="M1710">
        <v>1708</v>
      </c>
      <c r="N1710">
        <f t="shared" si="109"/>
        <v>0</v>
      </c>
      <c r="O1710">
        <f ca="1">SUM($N$2:N1710)/M1710</f>
        <v>114.28323477465166</v>
      </c>
    </row>
    <row r="1711" spans="1:15" x14ac:dyDescent="0.2">
      <c r="A1711">
        <v>1709</v>
      </c>
      <c r="B1711" s="11">
        <f t="shared" si="106"/>
        <v>0</v>
      </c>
      <c r="C1711">
        <f ca="1">SUM($B$2:B1711)/A1711</f>
        <v>112.22194004232087</v>
      </c>
      <c r="E1711">
        <v>1709</v>
      </c>
      <c r="F1711" s="11">
        <f t="shared" si="107"/>
        <v>0</v>
      </c>
      <c r="G1711">
        <f ca="1">SUM($F$2:F1711)/E1711</f>
        <v>114.21636336752782</v>
      </c>
      <c r="I1711">
        <v>1709</v>
      </c>
      <c r="J1711">
        <f t="shared" si="108"/>
        <v>0</v>
      </c>
      <c r="K1711">
        <f ca="1">SUM($J$2:J1711)/I1711</f>
        <v>112.22194004232087</v>
      </c>
      <c r="M1711">
        <v>1709</v>
      </c>
      <c r="N1711">
        <f t="shared" si="109"/>
        <v>0</v>
      </c>
      <c r="O1711">
        <f ca="1">SUM($N$2:N1711)/M1711</f>
        <v>114.21636336752782</v>
      </c>
    </row>
    <row r="1712" spans="1:15" x14ac:dyDescent="0.2">
      <c r="A1712">
        <v>1710</v>
      </c>
      <c r="B1712" s="11">
        <f t="shared" si="106"/>
        <v>0</v>
      </c>
      <c r="C1712">
        <f ca="1">SUM($B$2:B1712)/A1712</f>
        <v>112.15631317679905</v>
      </c>
      <c r="E1712">
        <v>1710</v>
      </c>
      <c r="F1712" s="11">
        <f t="shared" si="107"/>
        <v>0</v>
      </c>
      <c r="G1712">
        <f ca="1">SUM($F$2:F1712)/E1712</f>
        <v>114.14957017257605</v>
      </c>
      <c r="I1712">
        <v>1710</v>
      </c>
      <c r="J1712">
        <f t="shared" si="108"/>
        <v>0</v>
      </c>
      <c r="K1712">
        <f ca="1">SUM($J$2:J1712)/I1712</f>
        <v>112.15631317679905</v>
      </c>
      <c r="M1712">
        <v>1710</v>
      </c>
      <c r="N1712">
        <f t="shared" si="109"/>
        <v>0</v>
      </c>
      <c r="O1712">
        <f ca="1">SUM($N$2:N1712)/M1712</f>
        <v>114.14957017257605</v>
      </c>
    </row>
    <row r="1713" spans="1:15" x14ac:dyDescent="0.2">
      <c r="A1713">
        <v>1711</v>
      </c>
      <c r="B1713" s="11">
        <f t="shared" si="106"/>
        <v>0</v>
      </c>
      <c r="C1713">
        <f ca="1">SUM($B$2:B1713)/A1713</f>
        <v>112.09076302298443</v>
      </c>
      <c r="E1713">
        <v>1711</v>
      </c>
      <c r="F1713" s="11">
        <f t="shared" si="107"/>
        <v>0</v>
      </c>
      <c r="G1713">
        <f ca="1">SUM($F$2:F1713)/E1713</f>
        <v>114.08285505266221</v>
      </c>
      <c r="I1713">
        <v>1711</v>
      </c>
      <c r="J1713">
        <f t="shared" si="108"/>
        <v>0</v>
      </c>
      <c r="K1713">
        <f ca="1">SUM($J$2:J1713)/I1713</f>
        <v>112.09076302298443</v>
      </c>
      <c r="M1713">
        <v>1711</v>
      </c>
      <c r="N1713">
        <f t="shared" si="109"/>
        <v>0</v>
      </c>
      <c r="O1713">
        <f ca="1">SUM($N$2:N1713)/M1713</f>
        <v>114.08285505266221</v>
      </c>
    </row>
    <row r="1714" spans="1:15" x14ac:dyDescent="0.2">
      <c r="A1714">
        <v>1712</v>
      </c>
      <c r="B1714" s="11">
        <f t="shared" si="106"/>
        <v>0</v>
      </c>
      <c r="C1714">
        <f ca="1">SUM($B$2:B1714)/A1714</f>
        <v>112.02528944645232</v>
      </c>
      <c r="E1714">
        <v>1712</v>
      </c>
      <c r="F1714" s="11">
        <f t="shared" si="107"/>
        <v>0</v>
      </c>
      <c r="G1714">
        <f ca="1">SUM($F$2:F1714)/E1714</f>
        <v>114.01621787097257</v>
      </c>
      <c r="I1714">
        <v>1712</v>
      </c>
      <c r="J1714">
        <f t="shared" si="108"/>
        <v>0</v>
      </c>
      <c r="K1714">
        <f ca="1">SUM($J$2:J1714)/I1714</f>
        <v>112.02528944645232</v>
      </c>
      <c r="M1714">
        <v>1712</v>
      </c>
      <c r="N1714">
        <f t="shared" si="109"/>
        <v>0</v>
      </c>
      <c r="O1714">
        <f ca="1">SUM($N$2:N1714)/M1714</f>
        <v>114.01621787097257</v>
      </c>
    </row>
    <row r="1715" spans="1:15" x14ac:dyDescent="0.2">
      <c r="A1715">
        <v>1713</v>
      </c>
      <c r="B1715" s="11">
        <f t="shared" si="106"/>
        <v>0</v>
      </c>
      <c r="C1715">
        <f ca="1">SUM($B$2:B1715)/A1715</f>
        <v>111.95989231309186</v>
      </c>
      <c r="E1715">
        <v>1713</v>
      </c>
      <c r="F1715" s="11">
        <f t="shared" si="107"/>
        <v>0</v>
      </c>
      <c r="G1715">
        <f ca="1">SUM($F$2:F1715)/E1715</f>
        <v>113.94965849101287</v>
      </c>
      <c r="I1715">
        <v>1713</v>
      </c>
      <c r="J1715">
        <f t="shared" si="108"/>
        <v>0</v>
      </c>
      <c r="K1715">
        <f ca="1">SUM($J$2:J1715)/I1715</f>
        <v>111.95989231309186</v>
      </c>
      <c r="M1715">
        <v>1713</v>
      </c>
      <c r="N1715">
        <f t="shared" si="109"/>
        <v>0</v>
      </c>
      <c r="O1715">
        <f ca="1">SUM($N$2:N1715)/M1715</f>
        <v>113.94965849101287</v>
      </c>
    </row>
    <row r="1716" spans="1:15" x14ac:dyDescent="0.2">
      <c r="A1716">
        <v>1714</v>
      </c>
      <c r="B1716" s="11">
        <f t="shared" si="106"/>
        <v>0</v>
      </c>
      <c r="C1716">
        <f ca="1">SUM($B$2:B1716)/A1716</f>
        <v>111.89457148910523</v>
      </c>
      <c r="E1716">
        <v>1714</v>
      </c>
      <c r="F1716" s="11">
        <f t="shared" si="107"/>
        <v>0</v>
      </c>
      <c r="G1716">
        <f ca="1">SUM($F$2:F1716)/E1716</f>
        <v>113.88317677660737</v>
      </c>
      <c r="I1716">
        <v>1714</v>
      </c>
      <c r="J1716">
        <f t="shared" si="108"/>
        <v>0</v>
      </c>
      <c r="K1716">
        <f ca="1">SUM($J$2:J1716)/I1716</f>
        <v>111.89457148910523</v>
      </c>
      <c r="M1716">
        <v>1714</v>
      </c>
      <c r="N1716">
        <f t="shared" si="109"/>
        <v>0</v>
      </c>
      <c r="O1716">
        <f ca="1">SUM($N$2:N1716)/M1716</f>
        <v>113.88317677660737</v>
      </c>
    </row>
    <row r="1717" spans="1:15" x14ac:dyDescent="0.2">
      <c r="A1717">
        <v>1715</v>
      </c>
      <c r="B1717" s="11">
        <f t="shared" si="106"/>
        <v>0</v>
      </c>
      <c r="C1717">
        <f ca="1">SUM($B$2:B1717)/A1717</f>
        <v>111.82932684100662</v>
      </c>
      <c r="E1717">
        <v>1715</v>
      </c>
      <c r="F1717" s="11">
        <f t="shared" si="107"/>
        <v>0</v>
      </c>
      <c r="G1717">
        <f ca="1">SUM($F$2:F1717)/E1717</f>
        <v>113.81677259189799</v>
      </c>
      <c r="I1717">
        <v>1715</v>
      </c>
      <c r="J1717">
        <f t="shared" si="108"/>
        <v>0</v>
      </c>
      <c r="K1717">
        <f ca="1">SUM($J$2:J1717)/I1717</f>
        <v>111.82932684100662</v>
      </c>
      <c r="M1717">
        <v>1715</v>
      </c>
      <c r="N1717">
        <f t="shared" si="109"/>
        <v>0</v>
      </c>
      <c r="O1717">
        <f ca="1">SUM($N$2:N1717)/M1717</f>
        <v>113.81677259189799</v>
      </c>
    </row>
    <row r="1718" spans="1:15" x14ac:dyDescent="0.2">
      <c r="A1718">
        <v>1716</v>
      </c>
      <c r="B1718" s="11">
        <f t="shared" si="106"/>
        <v>0</v>
      </c>
      <c r="C1718">
        <f ca="1">SUM($B$2:B1718)/A1718</f>
        <v>111.76415823562142</v>
      </c>
      <c r="E1718">
        <v>1716</v>
      </c>
      <c r="F1718" s="11">
        <f t="shared" si="107"/>
        <v>0</v>
      </c>
      <c r="G1718">
        <f ca="1">SUM($F$2:F1718)/E1718</f>
        <v>113.75044580134326</v>
      </c>
      <c r="I1718">
        <v>1716</v>
      </c>
      <c r="J1718">
        <f t="shared" si="108"/>
        <v>0</v>
      </c>
      <c r="K1718">
        <f ca="1">SUM($J$2:J1718)/I1718</f>
        <v>111.76415823562142</v>
      </c>
      <c r="M1718">
        <v>1716</v>
      </c>
      <c r="N1718">
        <f t="shared" si="109"/>
        <v>0</v>
      </c>
      <c r="O1718">
        <f ca="1">SUM($N$2:N1718)/M1718</f>
        <v>113.75044580134326</v>
      </c>
    </row>
    <row r="1719" spans="1:15" x14ac:dyDescent="0.2">
      <c r="A1719">
        <v>1717</v>
      </c>
      <c r="B1719" s="11">
        <f t="shared" si="106"/>
        <v>0</v>
      </c>
      <c r="C1719">
        <f ca="1">SUM($B$2:B1719)/A1719</f>
        <v>111.69906554008524</v>
      </c>
      <c r="E1719">
        <v>1717</v>
      </c>
      <c r="F1719" s="11">
        <f t="shared" si="107"/>
        <v>0</v>
      </c>
      <c r="G1719">
        <f ca="1">SUM($F$2:F1719)/E1719</f>
        <v>113.68419626971756</v>
      </c>
      <c r="I1719">
        <v>1717</v>
      </c>
      <c r="J1719">
        <f t="shared" si="108"/>
        <v>0</v>
      </c>
      <c r="K1719">
        <f ca="1">SUM($J$2:J1719)/I1719</f>
        <v>111.69906554008524</v>
      </c>
      <c r="M1719">
        <v>1717</v>
      </c>
      <c r="N1719">
        <f t="shared" si="109"/>
        <v>0</v>
      </c>
      <c r="O1719">
        <f ca="1">SUM($N$2:N1719)/M1719</f>
        <v>113.68419626971756</v>
      </c>
    </row>
    <row r="1720" spans="1:15" x14ac:dyDescent="0.2">
      <c r="A1720">
        <v>1718</v>
      </c>
      <c r="B1720" s="11">
        <f t="shared" si="106"/>
        <v>0</v>
      </c>
      <c r="C1720">
        <f ca="1">SUM($B$2:B1720)/A1720</f>
        <v>111.63404862184305</v>
      </c>
      <c r="E1720">
        <v>1718</v>
      </c>
      <c r="F1720" s="11">
        <f t="shared" si="107"/>
        <v>0</v>
      </c>
      <c r="G1720">
        <f ca="1">SUM($F$2:F1720)/E1720</f>
        <v>113.61802386211004</v>
      </c>
      <c r="I1720">
        <v>1718</v>
      </c>
      <c r="J1720">
        <f t="shared" si="108"/>
        <v>0</v>
      </c>
      <c r="K1720">
        <f ca="1">SUM($J$2:J1720)/I1720</f>
        <v>111.63404862184305</v>
      </c>
      <c r="M1720">
        <v>1718</v>
      </c>
      <c r="N1720">
        <f t="shared" si="109"/>
        <v>0</v>
      </c>
      <c r="O1720">
        <f ca="1">SUM($N$2:N1720)/M1720</f>
        <v>113.61802386211004</v>
      </c>
    </row>
    <row r="1721" spans="1:15" x14ac:dyDescent="0.2">
      <c r="A1721">
        <v>1719</v>
      </c>
      <c r="B1721" s="11">
        <f t="shared" si="106"/>
        <v>0</v>
      </c>
      <c r="C1721">
        <f ca="1">SUM($B$2:B1721)/A1721</f>
        <v>111.56910734864826</v>
      </c>
      <c r="E1721">
        <v>1719</v>
      </c>
      <c r="F1721" s="11">
        <f t="shared" si="107"/>
        <v>0</v>
      </c>
      <c r="G1721">
        <f ca="1">SUM($F$2:F1721)/E1721</f>
        <v>113.55192844392381</v>
      </c>
      <c r="I1721">
        <v>1719</v>
      </c>
      <c r="J1721">
        <f t="shared" si="108"/>
        <v>0</v>
      </c>
      <c r="K1721">
        <f ca="1">SUM($J$2:J1721)/I1721</f>
        <v>111.56910734864826</v>
      </c>
      <c r="M1721">
        <v>1719</v>
      </c>
      <c r="N1721">
        <f t="shared" si="109"/>
        <v>0</v>
      </c>
      <c r="O1721">
        <f ca="1">SUM($N$2:N1721)/M1721</f>
        <v>113.55192844392381</v>
      </c>
    </row>
    <row r="1722" spans="1:15" x14ac:dyDescent="0.2">
      <c r="A1722">
        <v>1720</v>
      </c>
      <c r="B1722" s="11">
        <f t="shared" si="106"/>
        <v>0</v>
      </c>
      <c r="C1722">
        <f ca="1">SUM($B$2:B1722)/A1722</f>
        <v>111.50424158856184</v>
      </c>
      <c r="E1722">
        <v>1720</v>
      </c>
      <c r="F1722" s="11">
        <f t="shared" si="107"/>
        <v>0</v>
      </c>
      <c r="G1722">
        <f ca="1">SUM($F$2:F1722)/E1722</f>
        <v>113.48590988087503</v>
      </c>
      <c r="I1722">
        <v>1720</v>
      </c>
      <c r="J1722">
        <f t="shared" si="108"/>
        <v>0</v>
      </c>
      <c r="K1722">
        <f ca="1">SUM($J$2:J1722)/I1722</f>
        <v>111.50424158856184</v>
      </c>
      <c r="M1722">
        <v>1720</v>
      </c>
      <c r="N1722">
        <f t="shared" si="109"/>
        <v>0</v>
      </c>
      <c r="O1722">
        <f ca="1">SUM($N$2:N1722)/M1722</f>
        <v>113.48590988087503</v>
      </c>
    </row>
    <row r="1723" spans="1:15" x14ac:dyDescent="0.2">
      <c r="A1723">
        <v>1721</v>
      </c>
      <c r="B1723" s="11">
        <f t="shared" si="106"/>
        <v>0</v>
      </c>
      <c r="C1723">
        <f ca="1">SUM($B$2:B1723)/A1723</f>
        <v>111.4394512099514</v>
      </c>
      <c r="E1723">
        <v>1721</v>
      </c>
      <c r="F1723" s="11">
        <f t="shared" si="107"/>
        <v>0</v>
      </c>
      <c r="G1723">
        <f ca="1">SUM($F$2:F1723)/E1723</f>
        <v>113.41996803899188</v>
      </c>
      <c r="I1723">
        <v>1721</v>
      </c>
      <c r="J1723">
        <f t="shared" si="108"/>
        <v>0</v>
      </c>
      <c r="K1723">
        <f ca="1">SUM($J$2:J1723)/I1723</f>
        <v>111.4394512099514</v>
      </c>
      <c r="M1723">
        <v>1721</v>
      </c>
      <c r="N1723">
        <f t="shared" si="109"/>
        <v>0</v>
      </c>
      <c r="O1723">
        <f ca="1">SUM($N$2:N1723)/M1723</f>
        <v>113.41996803899188</v>
      </c>
    </row>
    <row r="1724" spans="1:15" x14ac:dyDescent="0.2">
      <c r="A1724">
        <v>1722</v>
      </c>
      <c r="B1724" s="11">
        <f t="shared" si="106"/>
        <v>0</v>
      </c>
      <c r="C1724">
        <f ca="1">SUM($B$2:B1724)/A1724</f>
        <v>111.37473608149034</v>
      </c>
      <c r="E1724">
        <v>1722</v>
      </c>
      <c r="F1724" s="11">
        <f t="shared" si="107"/>
        <v>0</v>
      </c>
      <c r="G1724">
        <f ca="1">SUM($F$2:F1724)/E1724</f>
        <v>113.35410278461384</v>
      </c>
      <c r="I1724">
        <v>1722</v>
      </c>
      <c r="J1724">
        <f t="shared" si="108"/>
        <v>0</v>
      </c>
      <c r="K1724">
        <f ca="1">SUM($J$2:J1724)/I1724</f>
        <v>111.37473608149034</v>
      </c>
      <c r="M1724">
        <v>1722</v>
      </c>
      <c r="N1724">
        <f t="shared" si="109"/>
        <v>0</v>
      </c>
      <c r="O1724">
        <f ca="1">SUM($N$2:N1724)/M1724</f>
        <v>113.35410278461384</v>
      </c>
    </row>
    <row r="1725" spans="1:15" x14ac:dyDescent="0.2">
      <c r="A1725">
        <v>1723</v>
      </c>
      <c r="B1725" s="11">
        <f t="shared" si="106"/>
        <v>0</v>
      </c>
      <c r="C1725">
        <f ca="1">SUM($B$2:B1725)/A1725</f>
        <v>111.31009607215691</v>
      </c>
      <c r="E1725">
        <v>1723</v>
      </c>
      <c r="F1725" s="11">
        <f t="shared" si="107"/>
        <v>0</v>
      </c>
      <c r="G1725">
        <f ca="1">SUM($F$2:F1725)/E1725</f>
        <v>113.28831398439063</v>
      </c>
      <c r="I1725">
        <v>1723</v>
      </c>
      <c r="J1725">
        <f t="shared" si="108"/>
        <v>0</v>
      </c>
      <c r="K1725">
        <f ca="1">SUM($J$2:J1725)/I1725</f>
        <v>111.31009607215691</v>
      </c>
      <c r="M1725">
        <v>1723</v>
      </c>
      <c r="N1725">
        <f t="shared" si="109"/>
        <v>0</v>
      </c>
      <c r="O1725">
        <f ca="1">SUM($N$2:N1725)/M1725</f>
        <v>113.28831398439063</v>
      </c>
    </row>
    <row r="1726" spans="1:15" x14ac:dyDescent="0.2">
      <c r="A1726">
        <v>1724</v>
      </c>
      <c r="B1726" s="11">
        <f t="shared" si="106"/>
        <v>0</v>
      </c>
      <c r="C1726">
        <f ca="1">SUM($B$2:B1726)/A1726</f>
        <v>111.24553105123339</v>
      </c>
      <c r="E1726">
        <v>1724</v>
      </c>
      <c r="F1726" s="11">
        <f t="shared" si="107"/>
        <v>0</v>
      </c>
      <c r="G1726">
        <f ca="1">SUM($F$2:F1726)/E1726</f>
        <v>113.22260150528135</v>
      </c>
      <c r="I1726">
        <v>1724</v>
      </c>
      <c r="J1726">
        <f t="shared" si="108"/>
        <v>0</v>
      </c>
      <c r="K1726">
        <f ca="1">SUM($J$2:J1726)/I1726</f>
        <v>111.24553105123339</v>
      </c>
      <c r="M1726">
        <v>1724</v>
      </c>
      <c r="N1726">
        <f t="shared" si="109"/>
        <v>0</v>
      </c>
      <c r="O1726">
        <f ca="1">SUM($N$2:N1726)/M1726</f>
        <v>113.22260150528135</v>
      </c>
    </row>
    <row r="1727" spans="1:15" x14ac:dyDescent="0.2">
      <c r="A1727">
        <v>1725</v>
      </c>
      <c r="B1727" s="11">
        <f t="shared" si="106"/>
        <v>0</v>
      </c>
      <c r="C1727">
        <f ca="1">SUM($B$2:B1727)/A1727</f>
        <v>111.18104088830513</v>
      </c>
      <c r="E1727">
        <v>1725</v>
      </c>
      <c r="F1727" s="11">
        <f t="shared" si="107"/>
        <v>0</v>
      </c>
      <c r="G1727">
        <f ca="1">SUM($F$2:F1727)/E1727</f>
        <v>113.15696521455365</v>
      </c>
      <c r="I1727">
        <v>1725</v>
      </c>
      <c r="J1727">
        <f t="shared" si="108"/>
        <v>0</v>
      </c>
      <c r="K1727">
        <f ca="1">SUM($J$2:J1727)/I1727</f>
        <v>111.18104088830513</v>
      </c>
      <c r="M1727">
        <v>1725</v>
      </c>
      <c r="N1727">
        <f t="shared" si="109"/>
        <v>0</v>
      </c>
      <c r="O1727">
        <f ca="1">SUM($N$2:N1727)/M1727</f>
        <v>113.15696521455365</v>
      </c>
    </row>
    <row r="1728" spans="1:15" x14ac:dyDescent="0.2">
      <c r="A1728">
        <v>1726</v>
      </c>
      <c r="B1728" s="11">
        <f t="shared" si="106"/>
        <v>0</v>
      </c>
      <c r="C1728">
        <f ca="1">SUM($B$2:B1728)/A1728</f>
        <v>111.11662545325977</v>
      </c>
      <c r="E1728">
        <v>1726</v>
      </c>
      <c r="F1728" s="11">
        <f t="shared" si="107"/>
        <v>0</v>
      </c>
      <c r="G1728">
        <f ca="1">SUM($F$2:F1728)/E1728</f>
        <v>113.09140497978275</v>
      </c>
      <c r="I1728">
        <v>1726</v>
      </c>
      <c r="J1728">
        <f t="shared" si="108"/>
        <v>0</v>
      </c>
      <c r="K1728">
        <f ca="1">SUM($J$2:J1728)/I1728</f>
        <v>111.11662545325977</v>
      </c>
      <c r="M1728">
        <v>1726</v>
      </c>
      <c r="N1728">
        <f t="shared" si="109"/>
        <v>0</v>
      </c>
      <c r="O1728">
        <f ca="1">SUM($N$2:N1728)/M1728</f>
        <v>113.09140497978275</v>
      </c>
    </row>
    <row r="1729" spans="1:15" x14ac:dyDescent="0.2">
      <c r="A1729">
        <v>1727</v>
      </c>
      <c r="B1729" s="11">
        <f t="shared" si="106"/>
        <v>0</v>
      </c>
      <c r="C1729">
        <f ca="1">SUM($B$2:B1729)/A1729</f>
        <v>111.05228461628626</v>
      </c>
      <c r="E1729">
        <v>1727</v>
      </c>
      <c r="F1729" s="11">
        <f t="shared" si="107"/>
        <v>0</v>
      </c>
      <c r="G1729">
        <f ca="1">SUM($F$2:F1729)/E1729</f>
        <v>113.02592066885063</v>
      </c>
      <c r="I1729">
        <v>1727</v>
      </c>
      <c r="J1729">
        <f t="shared" si="108"/>
        <v>0</v>
      </c>
      <c r="K1729">
        <f ca="1">SUM($J$2:J1729)/I1729</f>
        <v>111.05228461628626</v>
      </c>
      <c r="M1729">
        <v>1727</v>
      </c>
      <c r="N1729">
        <f t="shared" si="109"/>
        <v>0</v>
      </c>
      <c r="O1729">
        <f ca="1">SUM($N$2:N1729)/M1729</f>
        <v>113.02592066885063</v>
      </c>
    </row>
    <row r="1730" spans="1:15" x14ac:dyDescent="0.2">
      <c r="A1730">
        <v>1728</v>
      </c>
      <c r="B1730" s="11">
        <f t="shared" si="106"/>
        <v>0</v>
      </c>
      <c r="C1730">
        <f ca="1">SUM($B$2:B1730)/A1730</f>
        <v>110.98801824787405</v>
      </c>
      <c r="E1730">
        <v>1728</v>
      </c>
      <c r="F1730" s="11">
        <f t="shared" si="107"/>
        <v>0</v>
      </c>
      <c r="G1730">
        <f ca="1">SUM($F$2:F1730)/E1730</f>
        <v>112.96051214994505</v>
      </c>
      <c r="I1730">
        <v>1728</v>
      </c>
      <c r="J1730">
        <f t="shared" si="108"/>
        <v>0</v>
      </c>
      <c r="K1730">
        <f ca="1">SUM($J$2:J1730)/I1730</f>
        <v>110.98801824787405</v>
      </c>
      <c r="M1730">
        <v>1728</v>
      </c>
      <c r="N1730">
        <f t="shared" si="109"/>
        <v>0</v>
      </c>
      <c r="O1730">
        <f ca="1">SUM($N$2:N1730)/M1730</f>
        <v>112.96051214994505</v>
      </c>
    </row>
    <row r="1731" spans="1:15" x14ac:dyDescent="0.2">
      <c r="A1731">
        <v>1729</v>
      </c>
      <c r="B1731" s="11">
        <f t="shared" ref="B1731:B1794" si="110">IF(ARCap-IF((A1731-IF(A1731/180&gt;1,ROUNDDOWN(A1731/180,0)*180,0))/30&lt;=1,IF(200*15*BaseSpeed/60*(YellowConnects+WhiteMHConnects+WhiteOHConnects+HoJConnects+WindfuryConnects+SSConnects+IronfoeConnects)*(A1731-180*ROUNDDOWN(A1731/180,0))&gt;1200,1200,200*15*BaseSpeed/60*(YellowConnects+WhiteMHConnects+WhiteOHConnects+HoJConnects+WindfuryConnects+SSConnects+IronfoeConnects)*(A1731-180*ROUNDDOWN(A1731/180,0))),0)&lt;0,ARCap,IF((A1731-IF(A1731/180&gt;1,ROUNDDOWN(A1730/180,0)*180,0))/30&lt;=1,IF(200*15*BaseSpeed/60*(YellowConnects+WhiteMHConnects+WhiteOHConnects+HoJConnects+WindfuryConnects+SSConnects+IronfoeConnects)*(A1731-180*ROUNDDOWN(A1731/180,0))&gt;1200,1200,200*15*BaseSpeed/60*(YellowConnects+WhiteMHConnects+WhiteOHConnects+HoJConnects+WindfuryConnects+SSConnects+IronfoeConnects)*(A1731-180*ROUNDDOWN(A1731/180,0))),0))</f>
        <v>0</v>
      </c>
      <c r="C1731">
        <f ca="1">SUM($B$2:B1731)/A1731</f>
        <v>110.92382621881224</v>
      </c>
      <c r="E1731">
        <v>1729</v>
      </c>
      <c r="F1731" s="11">
        <f t="shared" ref="F1731:F1794" si="111">IF(ARCap-IF((A1731-IF(A1731/180&gt;1,ROUNDDOWN(A1731/180,0)*180,0))/30&lt;=1,IF(200*15*BaseSpeed/60*(YellowConnects20+WhiteMHConnects20+WhiteOHConnects20+HoJConnects20+WindfuryConnects20+SSConnects20+IronfoeConnects20)*(A1731-180*ROUNDDOWN(A1731/180,0))&gt;1200,1200,200*15*BaseSpeed/60*(YellowConnects20+WhiteMHConnects20+WhiteOHConnects20+HoJConnects20+WindfuryConnects20+SSConnects20+IronfoeConnects20)*(A1731-180*ROUNDDOWN(A1731/180,0))),0)&lt;0,ARCap,IF((A1731-IF(A1731/180&gt;1,ROUNDDOWN(A1731/180,0)*180,0))/30&lt;=1,IF(200*15*BaseSpeed/60*(YellowConnects20+WhiteMHConnects20+WhiteOHConnects20+HoJConnects20+WindfuryConnects20+SSConnects20+IronfoeConnects20)*(A1731-180*ROUNDDOWN(A1731/180,0))&gt;1200,1200,200*15*BaseSpeed/60*(YellowConnects20+WhiteMHConnects20+WhiteOHConnects20+HoJConnects20+WindfuryConnects20+SSConnects20+IronfoeConnects20)*(A1731-180*ROUNDDOWN(A1731/180,0))),0))</f>
        <v>0</v>
      </c>
      <c r="G1731">
        <f ca="1">SUM($F$2:F1731)/E1731</f>
        <v>112.89517929155873</v>
      </c>
      <c r="I1731">
        <v>1729</v>
      </c>
      <c r="J1731">
        <f t="shared" ref="J1731:J1794" si="112">IF(ARCap-(B1731+BRE)&lt;0,ARCap,B1731+BRE)</f>
        <v>0</v>
      </c>
      <c r="K1731">
        <f ca="1">SUM($J$2:J1731)/I1731</f>
        <v>110.92382621881224</v>
      </c>
      <c r="M1731">
        <v>1729</v>
      </c>
      <c r="N1731">
        <f t="shared" ref="N1731:N1794" si="113">IF(ARCap-(F1731+BREArmorReduction20)&lt;0,ARCap,F1731+BREArmorReduction20)</f>
        <v>0</v>
      </c>
      <c r="O1731">
        <f ca="1">SUM($N$2:N1731)/M1731</f>
        <v>112.89517929155873</v>
      </c>
    </row>
    <row r="1732" spans="1:15" x14ac:dyDescent="0.2">
      <c r="A1732">
        <v>1730</v>
      </c>
      <c r="B1732" s="11">
        <f t="shared" si="110"/>
        <v>0</v>
      </c>
      <c r="C1732">
        <f ca="1">SUM($B$2:B1732)/A1732</f>
        <v>110.85970840018865</v>
      </c>
      <c r="E1732">
        <v>1730</v>
      </c>
      <c r="F1732" s="11">
        <f t="shared" si="111"/>
        <v>0</v>
      </c>
      <c r="G1732">
        <f ca="1">SUM($F$2:F1732)/E1732</f>
        <v>112.82992196248847</v>
      </c>
      <c r="I1732">
        <v>1730</v>
      </c>
      <c r="J1732">
        <f t="shared" si="112"/>
        <v>0</v>
      </c>
      <c r="K1732">
        <f ca="1">SUM($J$2:J1732)/I1732</f>
        <v>110.85970840018865</v>
      </c>
      <c r="M1732">
        <v>1730</v>
      </c>
      <c r="N1732">
        <f t="shared" si="113"/>
        <v>0</v>
      </c>
      <c r="O1732">
        <f ca="1">SUM($N$2:N1732)/M1732</f>
        <v>112.82992196248847</v>
      </c>
    </row>
    <row r="1733" spans="1:15" x14ac:dyDescent="0.2">
      <c r="A1733">
        <v>1731</v>
      </c>
      <c r="B1733" s="11">
        <f t="shared" si="110"/>
        <v>0</v>
      </c>
      <c r="C1733">
        <f ca="1">SUM($B$2:B1733)/A1733</f>
        <v>110.795664663389</v>
      </c>
      <c r="E1733">
        <v>1731</v>
      </c>
      <c r="F1733" s="11">
        <f t="shared" si="111"/>
        <v>0</v>
      </c>
      <c r="G1733">
        <f ca="1">SUM($F$2:F1733)/E1733</f>
        <v>112.76474003183422</v>
      </c>
      <c r="I1733">
        <v>1731</v>
      </c>
      <c r="J1733">
        <f t="shared" si="112"/>
        <v>0</v>
      </c>
      <c r="K1733">
        <f ca="1">SUM($J$2:J1733)/I1733</f>
        <v>110.795664663389</v>
      </c>
      <c r="M1733">
        <v>1731</v>
      </c>
      <c r="N1733">
        <f t="shared" si="113"/>
        <v>0</v>
      </c>
      <c r="O1733">
        <f ca="1">SUM($N$2:N1733)/M1733</f>
        <v>112.76474003183422</v>
      </c>
    </row>
    <row r="1734" spans="1:15" x14ac:dyDescent="0.2">
      <c r="A1734">
        <v>1732</v>
      </c>
      <c r="B1734" s="11">
        <f t="shared" si="110"/>
        <v>0</v>
      </c>
      <c r="C1734">
        <f ca="1">SUM($B$2:B1734)/A1734</f>
        <v>110.73169488009606</v>
      </c>
      <c r="E1734">
        <v>1732</v>
      </c>
      <c r="F1734" s="11">
        <f t="shared" si="111"/>
        <v>0</v>
      </c>
      <c r="G1734">
        <f ca="1">SUM($F$2:F1734)/E1734</f>
        <v>112.69963336899829</v>
      </c>
      <c r="I1734">
        <v>1732</v>
      </c>
      <c r="J1734">
        <f t="shared" si="112"/>
        <v>0</v>
      </c>
      <c r="K1734">
        <f ca="1">SUM($J$2:J1734)/I1734</f>
        <v>110.73169488009606</v>
      </c>
      <c r="M1734">
        <v>1732</v>
      </c>
      <c r="N1734">
        <f t="shared" si="113"/>
        <v>0</v>
      </c>
      <c r="O1734">
        <f ca="1">SUM($N$2:N1734)/M1734</f>
        <v>112.69963336899829</v>
      </c>
    </row>
    <row r="1735" spans="1:15" x14ac:dyDescent="0.2">
      <c r="A1735">
        <v>1733</v>
      </c>
      <c r="B1735" s="11">
        <f t="shared" si="110"/>
        <v>0</v>
      </c>
      <c r="C1735">
        <f ca="1">SUM($B$2:B1735)/A1735</f>
        <v>110.66779892228872</v>
      </c>
      <c r="E1735">
        <v>1733</v>
      </c>
      <c r="F1735" s="11">
        <f t="shared" si="111"/>
        <v>0</v>
      </c>
      <c r="G1735">
        <f ca="1">SUM($F$2:F1735)/E1735</f>
        <v>112.63460184368438</v>
      </c>
      <c r="I1735">
        <v>1733</v>
      </c>
      <c r="J1735">
        <f t="shared" si="112"/>
        <v>0</v>
      </c>
      <c r="K1735">
        <f ca="1">SUM($J$2:J1735)/I1735</f>
        <v>110.66779892228872</v>
      </c>
      <c r="M1735">
        <v>1733</v>
      </c>
      <c r="N1735">
        <f t="shared" si="113"/>
        <v>0</v>
      </c>
      <c r="O1735">
        <f ca="1">SUM($N$2:N1735)/M1735</f>
        <v>112.63460184368438</v>
      </c>
    </row>
    <row r="1736" spans="1:15" x14ac:dyDescent="0.2">
      <c r="A1736">
        <v>1734</v>
      </c>
      <c r="B1736" s="11">
        <f t="shared" si="110"/>
        <v>0</v>
      </c>
      <c r="C1736">
        <f ca="1">SUM($B$2:B1736)/A1736</f>
        <v>110.60397666224127</v>
      </c>
      <c r="E1736">
        <v>1734</v>
      </c>
      <c r="F1736" s="11">
        <f t="shared" si="111"/>
        <v>0</v>
      </c>
      <c r="G1736">
        <f ca="1">SUM($F$2:F1736)/E1736</f>
        <v>112.5696453258968</v>
      </c>
      <c r="I1736">
        <v>1734</v>
      </c>
      <c r="J1736">
        <f t="shared" si="112"/>
        <v>0</v>
      </c>
      <c r="K1736">
        <f ca="1">SUM($J$2:J1736)/I1736</f>
        <v>110.60397666224127</v>
      </c>
      <c r="M1736">
        <v>1734</v>
      </c>
      <c r="N1736">
        <f t="shared" si="113"/>
        <v>0</v>
      </c>
      <c r="O1736">
        <f ca="1">SUM($N$2:N1736)/M1736</f>
        <v>112.5696453258968</v>
      </c>
    </row>
    <row r="1737" spans="1:15" x14ac:dyDescent="0.2">
      <c r="A1737">
        <v>1735</v>
      </c>
      <c r="B1737" s="11">
        <f t="shared" si="110"/>
        <v>0</v>
      </c>
      <c r="C1737">
        <f ca="1">SUM($B$2:B1737)/A1737</f>
        <v>110.5402279725224</v>
      </c>
      <c r="E1737">
        <v>1735</v>
      </c>
      <c r="F1737" s="11">
        <f t="shared" si="111"/>
        <v>0</v>
      </c>
      <c r="G1737">
        <f ca="1">SUM($F$2:F1737)/E1737</f>
        <v>112.50476368593951</v>
      </c>
      <c r="I1737">
        <v>1735</v>
      </c>
      <c r="J1737">
        <f t="shared" si="112"/>
        <v>0</v>
      </c>
      <c r="K1737">
        <f ca="1">SUM($J$2:J1737)/I1737</f>
        <v>110.5402279725224</v>
      </c>
      <c r="M1737">
        <v>1735</v>
      </c>
      <c r="N1737">
        <f t="shared" si="113"/>
        <v>0</v>
      </c>
      <c r="O1737">
        <f ca="1">SUM($N$2:N1737)/M1737</f>
        <v>112.50476368593951</v>
      </c>
    </row>
    <row r="1738" spans="1:15" x14ac:dyDescent="0.2">
      <c r="A1738">
        <v>1736</v>
      </c>
      <c r="B1738" s="11">
        <f t="shared" si="110"/>
        <v>0</v>
      </c>
      <c r="C1738">
        <f ca="1">SUM($B$2:B1738)/A1738</f>
        <v>110.47655272599445</v>
      </c>
      <c r="E1738">
        <v>1736</v>
      </c>
      <c r="F1738" s="11">
        <f t="shared" si="111"/>
        <v>0</v>
      </c>
      <c r="G1738">
        <f ca="1">SUM($F$2:F1738)/E1738</f>
        <v>112.43995679441535</v>
      </c>
      <c r="I1738">
        <v>1736</v>
      </c>
      <c r="J1738">
        <f t="shared" si="112"/>
        <v>0</v>
      </c>
      <c r="K1738">
        <f ca="1">SUM($J$2:J1738)/I1738</f>
        <v>110.47655272599445</v>
      </c>
      <c r="M1738">
        <v>1736</v>
      </c>
      <c r="N1738">
        <f t="shared" si="113"/>
        <v>0</v>
      </c>
      <c r="O1738">
        <f ca="1">SUM($N$2:N1738)/M1738</f>
        <v>112.43995679441535</v>
      </c>
    </row>
    <row r="1739" spans="1:15" x14ac:dyDescent="0.2">
      <c r="A1739">
        <v>1737</v>
      </c>
      <c r="B1739" s="11">
        <f t="shared" si="110"/>
        <v>0</v>
      </c>
      <c r="C1739">
        <f ca="1">SUM($B$2:B1739)/A1739</f>
        <v>110.41295079581252</v>
      </c>
      <c r="E1739">
        <v>1737</v>
      </c>
      <c r="F1739" s="11">
        <f t="shared" si="111"/>
        <v>0</v>
      </c>
      <c r="G1739">
        <f ca="1">SUM($F$2:F1739)/E1739</f>
        <v>112.37522452222512</v>
      </c>
      <c r="I1739">
        <v>1737</v>
      </c>
      <c r="J1739">
        <f t="shared" si="112"/>
        <v>0</v>
      </c>
      <c r="K1739">
        <f ca="1">SUM($J$2:J1739)/I1739</f>
        <v>110.41295079581252</v>
      </c>
      <c r="M1739">
        <v>1737</v>
      </c>
      <c r="N1739">
        <f t="shared" si="113"/>
        <v>0</v>
      </c>
      <c r="O1739">
        <f ca="1">SUM($N$2:N1739)/M1739</f>
        <v>112.37522452222512</v>
      </c>
    </row>
    <row r="1740" spans="1:15" x14ac:dyDescent="0.2">
      <c r="A1740">
        <v>1738</v>
      </c>
      <c r="B1740" s="11">
        <f t="shared" si="110"/>
        <v>0</v>
      </c>
      <c r="C1740">
        <f ca="1">SUM($B$2:B1740)/A1740</f>
        <v>110.34942205542369</v>
      </c>
      <c r="E1740">
        <v>1738</v>
      </c>
      <c r="F1740" s="11">
        <f t="shared" si="111"/>
        <v>0</v>
      </c>
      <c r="G1740">
        <f ca="1">SUM($F$2:F1740)/E1740</f>
        <v>112.31056674056677</v>
      </c>
      <c r="I1740">
        <v>1738</v>
      </c>
      <c r="J1740">
        <f t="shared" si="112"/>
        <v>0</v>
      </c>
      <c r="K1740">
        <f ca="1">SUM($J$2:J1740)/I1740</f>
        <v>110.34942205542369</v>
      </c>
      <c r="M1740">
        <v>1738</v>
      </c>
      <c r="N1740">
        <f t="shared" si="113"/>
        <v>0</v>
      </c>
      <c r="O1740">
        <f ca="1">SUM($N$2:N1740)/M1740</f>
        <v>112.31056674056677</v>
      </c>
    </row>
    <row r="1741" spans="1:15" x14ac:dyDescent="0.2">
      <c r="A1741">
        <v>1739</v>
      </c>
      <c r="B1741" s="11">
        <f t="shared" si="110"/>
        <v>0</v>
      </c>
      <c r="C1741">
        <f ca="1">SUM($B$2:B1741)/A1741</f>
        <v>110.28596637856604</v>
      </c>
      <c r="E1741">
        <v>1739</v>
      </c>
      <c r="F1741" s="11">
        <f t="shared" si="111"/>
        <v>0</v>
      </c>
      <c r="G1741">
        <f ca="1">SUM($F$2:F1741)/E1741</f>
        <v>112.24598332093447</v>
      </c>
      <c r="I1741">
        <v>1739</v>
      </c>
      <c r="J1741">
        <f t="shared" si="112"/>
        <v>0</v>
      </c>
      <c r="K1741">
        <f ca="1">SUM($J$2:J1741)/I1741</f>
        <v>110.28596637856604</v>
      </c>
      <c r="M1741">
        <v>1739</v>
      </c>
      <c r="N1741">
        <f t="shared" si="113"/>
        <v>0</v>
      </c>
      <c r="O1741">
        <f ca="1">SUM($N$2:N1741)/M1741</f>
        <v>112.24598332093447</v>
      </c>
    </row>
    <row r="1742" spans="1:15" x14ac:dyDescent="0.2">
      <c r="A1742">
        <v>1740</v>
      </c>
      <c r="B1742" s="11">
        <f t="shared" si="110"/>
        <v>0</v>
      </c>
      <c r="C1742">
        <f ca="1">SUM($B$2:B1742)/A1742</f>
        <v>110.22258363926802</v>
      </c>
      <c r="E1742">
        <v>1740</v>
      </c>
      <c r="F1742" s="11">
        <f t="shared" si="111"/>
        <v>0</v>
      </c>
      <c r="G1742">
        <f ca="1">SUM($F$2:F1742)/E1742</f>
        <v>112.18147413511784</v>
      </c>
      <c r="I1742">
        <v>1740</v>
      </c>
      <c r="J1742">
        <f t="shared" si="112"/>
        <v>0</v>
      </c>
      <c r="K1742">
        <f ca="1">SUM($J$2:J1742)/I1742</f>
        <v>110.22258363926802</v>
      </c>
      <c r="M1742">
        <v>1740</v>
      </c>
      <c r="N1742">
        <f t="shared" si="113"/>
        <v>0</v>
      </c>
      <c r="O1742">
        <f ca="1">SUM($N$2:N1742)/M1742</f>
        <v>112.18147413511784</v>
      </c>
    </row>
    <row r="1743" spans="1:15" x14ac:dyDescent="0.2">
      <c r="A1743">
        <v>1741</v>
      </c>
      <c r="B1743" s="11">
        <f t="shared" si="110"/>
        <v>0</v>
      </c>
      <c r="C1743">
        <f ca="1">SUM($B$2:B1743)/A1743</f>
        <v>110.15927371184742</v>
      </c>
      <c r="E1743">
        <v>1741</v>
      </c>
      <c r="F1743" s="11">
        <f t="shared" si="111"/>
        <v>0</v>
      </c>
      <c r="G1743">
        <f ca="1">SUM($F$2:F1743)/E1743</f>
        <v>112.11703905520106</v>
      </c>
      <c r="I1743">
        <v>1741</v>
      </c>
      <c r="J1743">
        <f t="shared" si="112"/>
        <v>0</v>
      </c>
      <c r="K1743">
        <f ca="1">SUM($J$2:J1743)/I1743</f>
        <v>110.15927371184742</v>
      </c>
      <c r="M1743">
        <v>1741</v>
      </c>
      <c r="N1743">
        <f t="shared" si="113"/>
        <v>0</v>
      </c>
      <c r="O1743">
        <f ca="1">SUM($N$2:N1743)/M1743</f>
        <v>112.11703905520106</v>
      </c>
    </row>
    <row r="1744" spans="1:15" x14ac:dyDescent="0.2">
      <c r="A1744">
        <v>1742</v>
      </c>
      <c r="B1744" s="11">
        <f t="shared" si="110"/>
        <v>0</v>
      </c>
      <c r="C1744">
        <f ca="1">SUM($B$2:B1744)/A1744</f>
        <v>110.09603647091065</v>
      </c>
      <c r="E1744">
        <v>1742</v>
      </c>
      <c r="F1744" s="11">
        <f t="shared" si="111"/>
        <v>0</v>
      </c>
      <c r="G1744">
        <f ca="1">SUM($F$2:F1744)/E1744</f>
        <v>112.05267795356202</v>
      </c>
      <c r="I1744">
        <v>1742</v>
      </c>
      <c r="J1744">
        <f t="shared" si="112"/>
        <v>0</v>
      </c>
      <c r="K1744">
        <f ca="1">SUM($J$2:J1744)/I1744</f>
        <v>110.09603647091065</v>
      </c>
      <c r="M1744">
        <v>1742</v>
      </c>
      <c r="N1744">
        <f t="shared" si="113"/>
        <v>0</v>
      </c>
      <c r="O1744">
        <f ca="1">SUM($N$2:N1744)/M1744</f>
        <v>112.05267795356202</v>
      </c>
    </row>
    <row r="1745" spans="1:15" x14ac:dyDescent="0.2">
      <c r="A1745">
        <v>1743</v>
      </c>
      <c r="B1745" s="11">
        <f t="shared" si="110"/>
        <v>0</v>
      </c>
      <c r="C1745">
        <f ca="1">SUM($B$2:B1745)/A1745</f>
        <v>110.03287179135189</v>
      </c>
      <c r="E1745">
        <v>1743</v>
      </c>
      <c r="F1745" s="11">
        <f t="shared" si="111"/>
        <v>0</v>
      </c>
      <c r="G1745">
        <f ca="1">SUM($F$2:F1745)/E1745</f>
        <v>111.98839070287151</v>
      </c>
      <c r="I1745">
        <v>1743</v>
      </c>
      <c r="J1745">
        <f t="shared" si="112"/>
        <v>0</v>
      </c>
      <c r="K1745">
        <f ca="1">SUM($J$2:J1745)/I1745</f>
        <v>110.03287179135189</v>
      </c>
      <c r="M1745">
        <v>1743</v>
      </c>
      <c r="N1745">
        <f t="shared" si="113"/>
        <v>0</v>
      </c>
      <c r="O1745">
        <f ca="1">SUM($N$2:N1745)/M1745</f>
        <v>111.98839070287151</v>
      </c>
    </row>
    <row r="1746" spans="1:15" x14ac:dyDescent="0.2">
      <c r="A1746">
        <v>1744</v>
      </c>
      <c r="B1746" s="11">
        <f t="shared" si="110"/>
        <v>0</v>
      </c>
      <c r="C1746">
        <f ca="1">SUM($B$2:B1746)/A1746</f>
        <v>109.96977954835226</v>
      </c>
      <c r="E1746">
        <v>1744</v>
      </c>
      <c r="F1746" s="11">
        <f t="shared" si="111"/>
        <v>0</v>
      </c>
      <c r="G1746">
        <f ca="1">SUM($F$2:F1746)/E1746</f>
        <v>111.92417717609234</v>
      </c>
      <c r="I1746">
        <v>1744</v>
      </c>
      <c r="J1746">
        <f t="shared" si="112"/>
        <v>0</v>
      </c>
      <c r="K1746">
        <f ca="1">SUM($J$2:J1746)/I1746</f>
        <v>109.96977954835226</v>
      </c>
      <c r="M1746">
        <v>1744</v>
      </c>
      <c r="N1746">
        <f t="shared" si="113"/>
        <v>0</v>
      </c>
      <c r="O1746">
        <f ca="1">SUM($N$2:N1746)/M1746</f>
        <v>111.92417717609234</v>
      </c>
    </row>
    <row r="1747" spans="1:15" x14ac:dyDescent="0.2">
      <c r="A1747">
        <v>1745</v>
      </c>
      <c r="B1747" s="11">
        <f t="shared" si="110"/>
        <v>0</v>
      </c>
      <c r="C1747">
        <f ca="1">SUM($B$2:B1747)/A1747</f>
        <v>109.90675961737901</v>
      </c>
      <c r="E1747">
        <v>1745</v>
      </c>
      <c r="F1747" s="11">
        <f t="shared" si="111"/>
        <v>0</v>
      </c>
      <c r="G1747">
        <f ca="1">SUM($F$2:F1747)/E1747</f>
        <v>111.86003724647853</v>
      </c>
      <c r="I1747">
        <v>1745</v>
      </c>
      <c r="J1747">
        <f t="shared" si="112"/>
        <v>0</v>
      </c>
      <c r="K1747">
        <f ca="1">SUM($J$2:J1747)/I1747</f>
        <v>109.90675961737901</v>
      </c>
      <c r="M1747">
        <v>1745</v>
      </c>
      <c r="N1747">
        <f t="shared" si="113"/>
        <v>0</v>
      </c>
      <c r="O1747">
        <f ca="1">SUM($N$2:N1747)/M1747</f>
        <v>111.86003724647853</v>
      </c>
    </row>
    <row r="1748" spans="1:15" x14ac:dyDescent="0.2">
      <c r="A1748">
        <v>1746</v>
      </c>
      <c r="B1748" s="11">
        <f t="shared" si="110"/>
        <v>0</v>
      </c>
      <c r="C1748">
        <f ca="1">SUM($B$2:B1748)/A1748</f>
        <v>109.84381187418462</v>
      </c>
      <c r="E1748">
        <v>1746</v>
      </c>
      <c r="F1748" s="11">
        <f t="shared" si="111"/>
        <v>0</v>
      </c>
      <c r="G1748">
        <f ca="1">SUM($F$2:F1748)/E1748</f>
        <v>111.79597078757448</v>
      </c>
      <c r="I1748">
        <v>1746</v>
      </c>
      <c r="J1748">
        <f t="shared" si="112"/>
        <v>0</v>
      </c>
      <c r="K1748">
        <f ca="1">SUM($J$2:J1748)/I1748</f>
        <v>109.84381187418462</v>
      </c>
      <c r="M1748">
        <v>1746</v>
      </c>
      <c r="N1748">
        <f t="shared" si="113"/>
        <v>0</v>
      </c>
      <c r="O1748">
        <f ca="1">SUM($N$2:N1748)/M1748</f>
        <v>111.79597078757448</v>
      </c>
    </row>
    <row r="1749" spans="1:15" x14ac:dyDescent="0.2">
      <c r="A1749">
        <v>1747</v>
      </c>
      <c r="B1749" s="11">
        <f t="shared" si="110"/>
        <v>0</v>
      </c>
      <c r="C1749">
        <f ca="1">SUM($B$2:B1749)/A1749</f>
        <v>109.78093619480616</v>
      </c>
      <c r="E1749">
        <v>1747</v>
      </c>
      <c r="F1749" s="11">
        <f t="shared" si="111"/>
        <v>0</v>
      </c>
      <c r="G1749">
        <f ca="1">SUM($F$2:F1749)/E1749</f>
        <v>111.7319776732141</v>
      </c>
      <c r="I1749">
        <v>1747</v>
      </c>
      <c r="J1749">
        <f t="shared" si="112"/>
        <v>0</v>
      </c>
      <c r="K1749">
        <f ca="1">SUM($J$2:J1749)/I1749</f>
        <v>109.78093619480616</v>
      </c>
      <c r="M1749">
        <v>1747</v>
      </c>
      <c r="N1749">
        <f t="shared" si="113"/>
        <v>0</v>
      </c>
      <c r="O1749">
        <f ca="1">SUM($N$2:N1749)/M1749</f>
        <v>111.7319776732141</v>
      </c>
    </row>
    <row r="1750" spans="1:15" x14ac:dyDescent="0.2">
      <c r="A1750">
        <v>1748</v>
      </c>
      <c r="B1750" s="11">
        <f t="shared" si="110"/>
        <v>0</v>
      </c>
      <c r="C1750">
        <f ca="1">SUM($B$2:B1750)/A1750</f>
        <v>109.71813245556427</v>
      </c>
      <c r="E1750">
        <v>1748</v>
      </c>
      <c r="F1750" s="11">
        <f t="shared" si="111"/>
        <v>0</v>
      </c>
      <c r="G1750">
        <f ca="1">SUM($F$2:F1750)/E1750</f>
        <v>111.66805777752005</v>
      </c>
      <c r="I1750">
        <v>1748</v>
      </c>
      <c r="J1750">
        <f t="shared" si="112"/>
        <v>0</v>
      </c>
      <c r="K1750">
        <f ca="1">SUM($J$2:J1750)/I1750</f>
        <v>109.71813245556427</v>
      </c>
      <c r="M1750">
        <v>1748</v>
      </c>
      <c r="N1750">
        <f t="shared" si="113"/>
        <v>0</v>
      </c>
      <c r="O1750">
        <f ca="1">SUM($N$2:N1750)/M1750</f>
        <v>111.66805777752005</v>
      </c>
    </row>
    <row r="1751" spans="1:15" x14ac:dyDescent="0.2">
      <c r="A1751">
        <v>1749</v>
      </c>
      <c r="B1751" s="11">
        <f t="shared" si="110"/>
        <v>0</v>
      </c>
      <c r="C1751">
        <f ca="1">SUM($B$2:B1751)/A1751</f>
        <v>109.65540053306253</v>
      </c>
      <c r="E1751">
        <v>1749</v>
      </c>
      <c r="F1751" s="11">
        <f t="shared" si="111"/>
        <v>0</v>
      </c>
      <c r="G1751">
        <f ca="1">SUM($F$2:F1751)/E1751</f>
        <v>111.60421097490283</v>
      </c>
      <c r="I1751">
        <v>1749</v>
      </c>
      <c r="J1751">
        <f t="shared" si="112"/>
        <v>0</v>
      </c>
      <c r="K1751">
        <f ca="1">SUM($J$2:J1751)/I1751</f>
        <v>109.65540053306253</v>
      </c>
      <c r="M1751">
        <v>1749</v>
      </c>
      <c r="N1751">
        <f t="shared" si="113"/>
        <v>0</v>
      </c>
      <c r="O1751">
        <f ca="1">SUM($N$2:N1751)/M1751</f>
        <v>111.60421097490283</v>
      </c>
    </row>
    <row r="1752" spans="1:15" x14ac:dyDescent="0.2">
      <c r="A1752">
        <v>1750</v>
      </c>
      <c r="B1752" s="11">
        <f t="shared" si="110"/>
        <v>0</v>
      </c>
      <c r="C1752">
        <f ca="1">SUM($B$2:B1752)/A1752</f>
        <v>109.59274030418649</v>
      </c>
      <c r="E1752">
        <v>1750</v>
      </c>
      <c r="F1752" s="11">
        <f t="shared" si="111"/>
        <v>0</v>
      </c>
      <c r="G1752">
        <f ca="1">SUM($F$2:F1752)/E1752</f>
        <v>111.54043714006002</v>
      </c>
      <c r="I1752">
        <v>1750</v>
      </c>
      <c r="J1752">
        <f t="shared" si="112"/>
        <v>0</v>
      </c>
      <c r="K1752">
        <f ca="1">SUM($J$2:J1752)/I1752</f>
        <v>109.59274030418649</v>
      </c>
      <c r="M1752">
        <v>1750</v>
      </c>
      <c r="N1752">
        <f t="shared" si="113"/>
        <v>0</v>
      </c>
      <c r="O1752">
        <f ca="1">SUM($N$2:N1752)/M1752</f>
        <v>111.54043714006002</v>
      </c>
    </row>
    <row r="1753" spans="1:15" x14ac:dyDescent="0.2">
      <c r="A1753">
        <v>1751</v>
      </c>
      <c r="B1753" s="11">
        <f t="shared" si="110"/>
        <v>0</v>
      </c>
      <c r="C1753">
        <f ca="1">SUM($B$2:B1753)/A1753</f>
        <v>109.53015164610301</v>
      </c>
      <c r="E1753">
        <v>1751</v>
      </c>
      <c r="F1753" s="11">
        <f t="shared" si="111"/>
        <v>0</v>
      </c>
      <c r="G1753">
        <f ca="1">SUM($F$2:F1753)/E1753</f>
        <v>111.47673614797547</v>
      </c>
      <c r="I1753">
        <v>1751</v>
      </c>
      <c r="J1753">
        <f t="shared" si="112"/>
        <v>0</v>
      </c>
      <c r="K1753">
        <f ca="1">SUM($J$2:J1753)/I1753</f>
        <v>109.53015164610301</v>
      </c>
      <c r="M1753">
        <v>1751</v>
      </c>
      <c r="N1753">
        <f t="shared" si="113"/>
        <v>0</v>
      </c>
      <c r="O1753">
        <f ca="1">SUM($N$2:N1753)/M1753</f>
        <v>111.47673614797547</v>
      </c>
    </row>
    <row r="1754" spans="1:15" x14ac:dyDescent="0.2">
      <c r="A1754">
        <v>1752</v>
      </c>
      <c r="B1754" s="11">
        <f t="shared" si="110"/>
        <v>0</v>
      </c>
      <c r="C1754">
        <f ca="1">SUM($B$2:B1754)/A1754</f>
        <v>109.46763443625933</v>
      </c>
      <c r="E1754">
        <v>1752</v>
      </c>
      <c r="F1754" s="11">
        <f t="shared" si="111"/>
        <v>0</v>
      </c>
      <c r="G1754">
        <f ca="1">SUM($F$2:F1754)/E1754</f>
        <v>111.41310787391841</v>
      </c>
      <c r="I1754">
        <v>1752</v>
      </c>
      <c r="J1754">
        <f t="shared" si="112"/>
        <v>0</v>
      </c>
      <c r="K1754">
        <f ca="1">SUM($J$2:J1754)/I1754</f>
        <v>109.46763443625933</v>
      </c>
      <c r="M1754">
        <v>1752</v>
      </c>
      <c r="N1754">
        <f t="shared" si="113"/>
        <v>0</v>
      </c>
      <c r="O1754">
        <f ca="1">SUM($N$2:N1754)/M1754</f>
        <v>111.41310787391841</v>
      </c>
    </row>
    <row r="1755" spans="1:15" x14ac:dyDescent="0.2">
      <c r="A1755">
        <v>1753</v>
      </c>
      <c r="B1755" s="11">
        <f t="shared" si="110"/>
        <v>0</v>
      </c>
      <c r="C1755">
        <f ca="1">SUM($B$2:B1755)/A1755</f>
        <v>109.40518855238241</v>
      </c>
      <c r="E1755">
        <v>1753</v>
      </c>
      <c r="F1755" s="11">
        <f t="shared" si="111"/>
        <v>0</v>
      </c>
      <c r="G1755">
        <f ca="1">SUM($F$2:F1755)/E1755</f>
        <v>111.34955219344269</v>
      </c>
      <c r="I1755">
        <v>1753</v>
      </c>
      <c r="J1755">
        <f t="shared" si="112"/>
        <v>0</v>
      </c>
      <c r="K1755">
        <f ca="1">SUM($J$2:J1755)/I1755</f>
        <v>109.40518855238241</v>
      </c>
      <c r="M1755">
        <v>1753</v>
      </c>
      <c r="N1755">
        <f t="shared" si="113"/>
        <v>0</v>
      </c>
      <c r="O1755">
        <f ca="1">SUM($N$2:N1755)/M1755</f>
        <v>111.34955219344269</v>
      </c>
    </row>
    <row r="1756" spans="1:15" x14ac:dyDescent="0.2">
      <c r="A1756">
        <v>1754</v>
      </c>
      <c r="B1756" s="11">
        <f t="shared" si="110"/>
        <v>0</v>
      </c>
      <c r="C1756">
        <f ca="1">SUM($B$2:B1756)/A1756</f>
        <v>109.34281387247798</v>
      </c>
      <c r="E1756">
        <v>1754</v>
      </c>
      <c r="F1756" s="11">
        <f t="shared" si="111"/>
        <v>0</v>
      </c>
      <c r="G1756">
        <f ca="1">SUM($F$2:F1756)/E1756</f>
        <v>111.286068982386</v>
      </c>
      <c r="I1756">
        <v>1754</v>
      </c>
      <c r="J1756">
        <f t="shared" si="112"/>
        <v>0</v>
      </c>
      <c r="K1756">
        <f ca="1">SUM($J$2:J1756)/I1756</f>
        <v>109.34281387247798</v>
      </c>
      <c r="M1756">
        <v>1754</v>
      </c>
      <c r="N1756">
        <f t="shared" si="113"/>
        <v>0</v>
      </c>
      <c r="O1756">
        <f ca="1">SUM($N$2:N1756)/M1756</f>
        <v>111.286068982386</v>
      </c>
    </row>
    <row r="1757" spans="1:15" x14ac:dyDescent="0.2">
      <c r="A1757">
        <v>1755</v>
      </c>
      <c r="B1757" s="11">
        <f t="shared" si="110"/>
        <v>0</v>
      </c>
      <c r="C1757">
        <f ca="1">SUM($B$2:B1757)/A1757</f>
        <v>109.28051027482984</v>
      </c>
      <c r="E1757">
        <v>1755</v>
      </c>
      <c r="F1757" s="11">
        <f t="shared" si="111"/>
        <v>0</v>
      </c>
      <c r="G1757">
        <f ca="1">SUM($F$2:F1757)/E1757</f>
        <v>111.22265811686897</v>
      </c>
      <c r="I1757">
        <v>1755</v>
      </c>
      <c r="J1757">
        <f t="shared" si="112"/>
        <v>0</v>
      </c>
      <c r="K1757">
        <f ca="1">SUM($J$2:J1757)/I1757</f>
        <v>109.28051027482984</v>
      </c>
      <c r="M1757">
        <v>1755</v>
      </c>
      <c r="N1757">
        <f t="shared" si="113"/>
        <v>0</v>
      </c>
      <c r="O1757">
        <f ca="1">SUM($N$2:N1757)/M1757</f>
        <v>111.22265811686897</v>
      </c>
    </row>
    <row r="1758" spans="1:15" x14ac:dyDescent="0.2">
      <c r="A1758">
        <v>1756</v>
      </c>
      <c r="B1758" s="11">
        <f t="shared" si="110"/>
        <v>0</v>
      </c>
      <c r="C1758">
        <f ca="1">SUM($B$2:B1758)/A1758</f>
        <v>109.21827763799907</v>
      </c>
      <c r="E1758">
        <v>1756</v>
      </c>
      <c r="F1758" s="11">
        <f t="shared" si="111"/>
        <v>0</v>
      </c>
      <c r="G1758">
        <f ca="1">SUM($F$2:F1758)/E1758</f>
        <v>111.15931947329445</v>
      </c>
      <c r="I1758">
        <v>1756</v>
      </c>
      <c r="J1758">
        <f t="shared" si="112"/>
        <v>0</v>
      </c>
      <c r="K1758">
        <f ca="1">SUM($J$2:J1758)/I1758</f>
        <v>109.21827763799907</v>
      </c>
      <c r="M1758">
        <v>1756</v>
      </c>
      <c r="N1758">
        <f t="shared" si="113"/>
        <v>0</v>
      </c>
      <c r="O1758">
        <f ca="1">SUM($N$2:N1758)/M1758</f>
        <v>111.15931947329445</v>
      </c>
    </row>
    <row r="1759" spans="1:15" x14ac:dyDescent="0.2">
      <c r="A1759">
        <v>1757</v>
      </c>
      <c r="B1759" s="11">
        <f t="shared" si="110"/>
        <v>0</v>
      </c>
      <c r="C1759">
        <f ca="1">SUM($B$2:B1759)/A1759</f>
        <v>109.1561158408232</v>
      </c>
      <c r="E1759">
        <v>1757</v>
      </c>
      <c r="F1759" s="11">
        <f t="shared" si="111"/>
        <v>0</v>
      </c>
      <c r="G1759">
        <f ca="1">SUM($F$2:F1759)/E1759</f>
        <v>111.09605292834664</v>
      </c>
      <c r="I1759">
        <v>1757</v>
      </c>
      <c r="J1759">
        <f t="shared" si="112"/>
        <v>0</v>
      </c>
      <c r="K1759">
        <f ca="1">SUM($J$2:J1759)/I1759</f>
        <v>109.1561158408232</v>
      </c>
      <c r="M1759">
        <v>1757</v>
      </c>
      <c r="N1759">
        <f t="shared" si="113"/>
        <v>0</v>
      </c>
      <c r="O1759">
        <f ca="1">SUM($N$2:N1759)/M1759</f>
        <v>111.09605292834664</v>
      </c>
    </row>
    <row r="1760" spans="1:15" x14ac:dyDescent="0.2">
      <c r="A1760">
        <v>1758</v>
      </c>
      <c r="B1760" s="11">
        <f t="shared" si="110"/>
        <v>0</v>
      </c>
      <c r="C1760">
        <f ca="1">SUM($B$2:B1760)/A1760</f>
        <v>109.09402476241544</v>
      </c>
      <c r="E1760">
        <v>1758</v>
      </c>
      <c r="F1760" s="11">
        <f t="shared" si="111"/>
        <v>0</v>
      </c>
      <c r="G1760">
        <f ca="1">SUM($F$2:F1760)/E1760</f>
        <v>111.03285835899035</v>
      </c>
      <c r="I1760">
        <v>1758</v>
      </c>
      <c r="J1760">
        <f t="shared" si="112"/>
        <v>0</v>
      </c>
      <c r="K1760">
        <f ca="1">SUM($J$2:J1760)/I1760</f>
        <v>109.09402476241544</v>
      </c>
      <c r="M1760">
        <v>1758</v>
      </c>
      <c r="N1760">
        <f t="shared" si="113"/>
        <v>0</v>
      </c>
      <c r="O1760">
        <f ca="1">SUM($N$2:N1760)/M1760</f>
        <v>111.03285835899035</v>
      </c>
    </row>
    <row r="1761" spans="1:15" x14ac:dyDescent="0.2">
      <c r="A1761">
        <v>1759</v>
      </c>
      <c r="B1761" s="11">
        <f t="shared" si="110"/>
        <v>0</v>
      </c>
      <c r="C1761">
        <f ca="1">SUM($B$2:B1761)/A1761</f>
        <v>109.03200428216394</v>
      </c>
      <c r="E1761">
        <v>1759</v>
      </c>
      <c r="F1761" s="11">
        <f t="shared" si="111"/>
        <v>0</v>
      </c>
      <c r="G1761">
        <f ca="1">SUM($F$2:F1761)/E1761</f>
        <v>110.96973564247018</v>
      </c>
      <c r="I1761">
        <v>1759</v>
      </c>
      <c r="J1761">
        <f t="shared" si="112"/>
        <v>0</v>
      </c>
      <c r="K1761">
        <f ca="1">SUM($J$2:J1761)/I1761</f>
        <v>109.03200428216394</v>
      </c>
      <c r="M1761">
        <v>1759</v>
      </c>
      <c r="N1761">
        <f t="shared" si="113"/>
        <v>0</v>
      </c>
      <c r="O1761">
        <f ca="1">SUM($N$2:N1761)/M1761</f>
        <v>110.96973564247018</v>
      </c>
    </row>
    <row r="1762" spans="1:15" x14ac:dyDescent="0.2">
      <c r="A1762">
        <v>1760</v>
      </c>
      <c r="B1762" s="11">
        <f t="shared" si="110"/>
        <v>0</v>
      </c>
      <c r="C1762">
        <f ca="1">SUM($B$2:B1762)/A1762</f>
        <v>108.97005427973089</v>
      </c>
      <c r="E1762">
        <v>1760</v>
      </c>
      <c r="F1762" s="11">
        <f t="shared" si="111"/>
        <v>0</v>
      </c>
      <c r="G1762">
        <f ca="1">SUM($F$2:F1762)/E1762</f>
        <v>110.90668465630968</v>
      </c>
      <c r="I1762">
        <v>1760</v>
      </c>
      <c r="J1762">
        <f t="shared" si="112"/>
        <v>0</v>
      </c>
      <c r="K1762">
        <f ca="1">SUM($J$2:J1762)/I1762</f>
        <v>108.97005427973089</v>
      </c>
      <c r="M1762">
        <v>1760</v>
      </c>
      <c r="N1762">
        <f t="shared" si="113"/>
        <v>0</v>
      </c>
      <c r="O1762">
        <f ca="1">SUM($N$2:N1762)/M1762</f>
        <v>110.90668465630968</v>
      </c>
    </row>
    <row r="1763" spans="1:15" x14ac:dyDescent="0.2">
      <c r="A1763">
        <v>1761</v>
      </c>
      <c r="B1763" s="11">
        <f t="shared" si="110"/>
        <v>0</v>
      </c>
      <c r="C1763">
        <f ca="1">SUM($B$2:B1763)/A1763</f>
        <v>108.90817463505188</v>
      </c>
      <c r="E1763">
        <v>1761</v>
      </c>
      <c r="F1763" s="11">
        <f t="shared" si="111"/>
        <v>0</v>
      </c>
      <c r="G1763">
        <f ca="1">SUM($F$2:F1763)/E1763</f>
        <v>110.84370527831064</v>
      </c>
      <c r="I1763">
        <v>1761</v>
      </c>
      <c r="J1763">
        <f t="shared" si="112"/>
        <v>0</v>
      </c>
      <c r="K1763">
        <f ca="1">SUM($J$2:J1763)/I1763</f>
        <v>108.90817463505188</v>
      </c>
      <c r="M1763">
        <v>1761</v>
      </c>
      <c r="N1763">
        <f t="shared" si="113"/>
        <v>0</v>
      </c>
      <c r="O1763">
        <f ca="1">SUM($N$2:N1763)/M1763</f>
        <v>110.84370527831064</v>
      </c>
    </row>
    <row r="1764" spans="1:15" x14ac:dyDescent="0.2">
      <c r="A1764">
        <v>1762</v>
      </c>
      <c r="B1764" s="11">
        <f t="shared" si="110"/>
        <v>0</v>
      </c>
      <c r="C1764">
        <f ca="1">SUM($B$2:B1764)/A1764</f>
        <v>108.84636522833505</v>
      </c>
      <c r="E1764">
        <v>1762</v>
      </c>
      <c r="F1764" s="11">
        <f t="shared" si="111"/>
        <v>0</v>
      </c>
      <c r="G1764">
        <f ca="1">SUM($F$2:F1764)/E1764</f>
        <v>110.78079738655224</v>
      </c>
      <c r="I1764">
        <v>1762</v>
      </c>
      <c r="J1764">
        <f t="shared" si="112"/>
        <v>0</v>
      </c>
      <c r="K1764">
        <f ca="1">SUM($J$2:J1764)/I1764</f>
        <v>108.84636522833505</v>
      </c>
      <c r="M1764">
        <v>1762</v>
      </c>
      <c r="N1764">
        <f t="shared" si="113"/>
        <v>0</v>
      </c>
      <c r="O1764">
        <f ca="1">SUM($N$2:N1764)/M1764</f>
        <v>110.78079738655224</v>
      </c>
    </row>
    <row r="1765" spans="1:15" x14ac:dyDescent="0.2">
      <c r="A1765">
        <v>1763</v>
      </c>
      <c r="B1765" s="11">
        <f t="shared" si="110"/>
        <v>0</v>
      </c>
      <c r="C1765">
        <f ca="1">SUM($B$2:B1765)/A1765</f>
        <v>108.78462594006032</v>
      </c>
      <c r="E1765">
        <v>1763</v>
      </c>
      <c r="F1765" s="11">
        <f t="shared" si="111"/>
        <v>0</v>
      </c>
      <c r="G1765">
        <f ca="1">SUM($F$2:F1765)/E1765</f>
        <v>110.71796085939026</v>
      </c>
      <c r="I1765">
        <v>1763</v>
      </c>
      <c r="J1765">
        <f t="shared" si="112"/>
        <v>0</v>
      </c>
      <c r="K1765">
        <f ca="1">SUM($J$2:J1765)/I1765</f>
        <v>108.78462594006032</v>
      </c>
      <c r="M1765">
        <v>1763</v>
      </c>
      <c r="N1765">
        <f t="shared" si="113"/>
        <v>0</v>
      </c>
      <c r="O1765">
        <f ca="1">SUM($N$2:N1765)/M1765</f>
        <v>110.71796085939026</v>
      </c>
    </row>
    <row r="1766" spans="1:15" x14ac:dyDescent="0.2">
      <c r="A1766">
        <v>1764</v>
      </c>
      <c r="B1766" s="11">
        <f t="shared" si="110"/>
        <v>0</v>
      </c>
      <c r="C1766">
        <f ca="1">SUM($B$2:B1766)/A1766</f>
        <v>108.72295665097866</v>
      </c>
      <c r="E1766">
        <v>1764</v>
      </c>
      <c r="F1766" s="11">
        <f t="shared" si="111"/>
        <v>0</v>
      </c>
      <c r="G1766">
        <f ca="1">SUM($F$2:F1766)/E1766</f>
        <v>110.65519557545637</v>
      </c>
      <c r="I1766">
        <v>1764</v>
      </c>
      <c r="J1766">
        <f t="shared" si="112"/>
        <v>0</v>
      </c>
      <c r="K1766">
        <f ca="1">SUM($J$2:J1766)/I1766</f>
        <v>108.72295665097866</v>
      </c>
      <c r="M1766">
        <v>1764</v>
      </c>
      <c r="N1766">
        <f t="shared" si="113"/>
        <v>0</v>
      </c>
      <c r="O1766">
        <f ca="1">SUM($N$2:N1766)/M1766</f>
        <v>110.65519557545637</v>
      </c>
    </row>
    <row r="1767" spans="1:15" x14ac:dyDescent="0.2">
      <c r="A1767">
        <v>1765</v>
      </c>
      <c r="B1767" s="11">
        <f t="shared" si="110"/>
        <v>0</v>
      </c>
      <c r="C1767">
        <f ca="1">SUM($B$2:B1767)/A1767</f>
        <v>108.66135724211125</v>
      </c>
      <c r="E1767">
        <v>1765</v>
      </c>
      <c r="F1767" s="11">
        <f t="shared" si="111"/>
        <v>0</v>
      </c>
      <c r="G1767">
        <f ca="1">SUM($F$2:F1767)/E1767</f>
        <v>110.59250141365725</v>
      </c>
      <c r="I1767">
        <v>1765</v>
      </c>
      <c r="J1767">
        <f t="shared" si="112"/>
        <v>0</v>
      </c>
      <c r="K1767">
        <f ca="1">SUM($J$2:J1767)/I1767</f>
        <v>108.66135724211125</v>
      </c>
      <c r="M1767">
        <v>1765</v>
      </c>
      <c r="N1767">
        <f t="shared" si="113"/>
        <v>0</v>
      </c>
      <c r="O1767">
        <f ca="1">SUM($N$2:N1767)/M1767</f>
        <v>110.59250141365725</v>
      </c>
    </row>
    <row r="1768" spans="1:15" x14ac:dyDescent="0.2">
      <c r="A1768">
        <v>1766</v>
      </c>
      <c r="B1768" s="11">
        <f t="shared" si="110"/>
        <v>0</v>
      </c>
      <c r="C1768">
        <f ca="1">SUM($B$2:B1768)/A1768</f>
        <v>108.59982759474879</v>
      </c>
      <c r="E1768">
        <v>1766</v>
      </c>
      <c r="F1768" s="11">
        <f t="shared" si="111"/>
        <v>0</v>
      </c>
      <c r="G1768">
        <f ca="1">SUM($F$2:F1768)/E1768</f>
        <v>110.52987825317386</v>
      </c>
      <c r="I1768">
        <v>1766</v>
      </c>
      <c r="J1768">
        <f t="shared" si="112"/>
        <v>0</v>
      </c>
      <c r="K1768">
        <f ca="1">SUM($J$2:J1768)/I1768</f>
        <v>108.59982759474879</v>
      </c>
      <c r="M1768">
        <v>1766</v>
      </c>
      <c r="N1768">
        <f t="shared" si="113"/>
        <v>0</v>
      </c>
      <c r="O1768">
        <f ca="1">SUM($N$2:N1768)/M1768</f>
        <v>110.52987825317386</v>
      </c>
    </row>
    <row r="1769" spans="1:15" x14ac:dyDescent="0.2">
      <c r="A1769">
        <v>1767</v>
      </c>
      <c r="B1769" s="11">
        <f t="shared" si="110"/>
        <v>0</v>
      </c>
      <c r="C1769">
        <f ca="1">SUM($B$2:B1769)/A1769</f>
        <v>108.53836759045069</v>
      </c>
      <c r="E1769">
        <v>1767</v>
      </c>
      <c r="F1769" s="11">
        <f t="shared" si="111"/>
        <v>0</v>
      </c>
      <c r="G1769">
        <f ca="1">SUM($F$2:F1769)/E1769</f>
        <v>110.46732597346069</v>
      </c>
      <c r="I1769">
        <v>1767</v>
      </c>
      <c r="J1769">
        <f t="shared" si="112"/>
        <v>0</v>
      </c>
      <c r="K1769">
        <f ca="1">SUM($J$2:J1769)/I1769</f>
        <v>108.53836759045069</v>
      </c>
      <c r="M1769">
        <v>1767</v>
      </c>
      <c r="N1769">
        <f t="shared" si="113"/>
        <v>0</v>
      </c>
      <c r="O1769">
        <f ca="1">SUM($N$2:N1769)/M1769</f>
        <v>110.46732597346069</v>
      </c>
    </row>
    <row r="1770" spans="1:15" x14ac:dyDescent="0.2">
      <c r="A1770">
        <v>1768</v>
      </c>
      <c r="B1770" s="11">
        <f t="shared" si="110"/>
        <v>0</v>
      </c>
      <c r="C1770">
        <f ca="1">SUM($B$2:B1770)/A1770</f>
        <v>108.47697711104432</v>
      </c>
      <c r="E1770">
        <v>1768</v>
      </c>
      <c r="F1770" s="11">
        <f t="shared" si="111"/>
        <v>0</v>
      </c>
      <c r="G1770">
        <f ca="1">SUM($F$2:F1770)/E1770</f>
        <v>110.40484445424494</v>
      </c>
      <c r="I1770">
        <v>1768</v>
      </c>
      <c r="J1770">
        <f t="shared" si="112"/>
        <v>0</v>
      </c>
      <c r="K1770">
        <f ca="1">SUM($J$2:J1770)/I1770</f>
        <v>108.47697711104432</v>
      </c>
      <c r="M1770">
        <v>1768</v>
      </c>
      <c r="N1770">
        <f t="shared" si="113"/>
        <v>0</v>
      </c>
      <c r="O1770">
        <f ca="1">SUM($N$2:N1770)/M1770</f>
        <v>110.40484445424494</v>
      </c>
    </row>
    <row r="1771" spans="1:15" x14ac:dyDescent="0.2">
      <c r="A1771">
        <v>1769</v>
      </c>
      <c r="B1771" s="11">
        <f t="shared" si="110"/>
        <v>0</v>
      </c>
      <c r="C1771">
        <f ca="1">SUM($B$2:B1771)/A1771</f>
        <v>108.41565603862429</v>
      </c>
      <c r="E1771">
        <v>1769</v>
      </c>
      <c r="F1771" s="11">
        <f t="shared" si="111"/>
        <v>0</v>
      </c>
      <c r="G1771">
        <f ca="1">SUM($F$2:F1771)/E1771</f>
        <v>110.34243357552575</v>
      </c>
      <c r="I1771">
        <v>1769</v>
      </c>
      <c r="J1771">
        <f t="shared" si="112"/>
        <v>0</v>
      </c>
      <c r="K1771">
        <f ca="1">SUM($J$2:J1771)/I1771</f>
        <v>108.41565603862429</v>
      </c>
      <c r="M1771">
        <v>1769</v>
      </c>
      <c r="N1771">
        <f t="shared" si="113"/>
        <v>0</v>
      </c>
      <c r="O1771">
        <f ca="1">SUM($N$2:N1771)/M1771</f>
        <v>110.34243357552575</v>
      </c>
    </row>
    <row r="1772" spans="1:15" x14ac:dyDescent="0.2">
      <c r="A1772">
        <v>1770</v>
      </c>
      <c r="B1772" s="11">
        <f t="shared" si="110"/>
        <v>0</v>
      </c>
      <c r="C1772">
        <f ca="1">SUM($B$2:B1772)/A1772</f>
        <v>108.35440425555161</v>
      </c>
      <c r="E1772">
        <v>1770</v>
      </c>
      <c r="F1772" s="11">
        <f t="shared" si="111"/>
        <v>0</v>
      </c>
      <c r="G1772">
        <f ca="1">SUM($F$2:F1772)/E1772</f>
        <v>110.28009321757347</v>
      </c>
      <c r="I1772">
        <v>1770</v>
      </c>
      <c r="J1772">
        <f t="shared" si="112"/>
        <v>0</v>
      </c>
      <c r="K1772">
        <f ca="1">SUM($J$2:J1772)/I1772</f>
        <v>108.35440425555161</v>
      </c>
      <c r="M1772">
        <v>1770</v>
      </c>
      <c r="N1772">
        <f t="shared" si="113"/>
        <v>0</v>
      </c>
      <c r="O1772">
        <f ca="1">SUM($N$2:N1772)/M1772</f>
        <v>110.28009321757347</v>
      </c>
    </row>
    <row r="1773" spans="1:15" x14ac:dyDescent="0.2">
      <c r="A1773">
        <v>1771</v>
      </c>
      <c r="B1773" s="11">
        <f t="shared" si="110"/>
        <v>0</v>
      </c>
      <c r="C1773">
        <f ca="1">SUM($B$2:B1773)/A1773</f>
        <v>108.29322164445306</v>
      </c>
      <c r="E1773">
        <v>1771</v>
      </c>
      <c r="F1773" s="11">
        <f t="shared" si="111"/>
        <v>0</v>
      </c>
      <c r="G1773">
        <f ca="1">SUM($F$2:F1773)/E1773</f>
        <v>110.21782326092888</v>
      </c>
      <c r="I1773">
        <v>1771</v>
      </c>
      <c r="J1773">
        <f t="shared" si="112"/>
        <v>0</v>
      </c>
      <c r="K1773">
        <f ca="1">SUM($J$2:J1773)/I1773</f>
        <v>108.29322164445306</v>
      </c>
      <c r="M1773">
        <v>1771</v>
      </c>
      <c r="N1773">
        <f t="shared" si="113"/>
        <v>0</v>
      </c>
      <c r="O1773">
        <f ca="1">SUM($N$2:N1773)/M1773</f>
        <v>110.21782326092888</v>
      </c>
    </row>
    <row r="1774" spans="1:15" x14ac:dyDescent="0.2">
      <c r="A1774">
        <v>1772</v>
      </c>
      <c r="B1774" s="11">
        <f t="shared" si="110"/>
        <v>0</v>
      </c>
      <c r="C1774">
        <f ca="1">SUM($B$2:B1774)/A1774</f>
        <v>108.23210808822029</v>
      </c>
      <c r="E1774">
        <v>1772</v>
      </c>
      <c r="F1774" s="11">
        <f t="shared" si="111"/>
        <v>0</v>
      </c>
      <c r="G1774">
        <f ca="1">SUM($F$2:F1774)/E1774</f>
        <v>110.1556235864024</v>
      </c>
      <c r="I1774">
        <v>1772</v>
      </c>
      <c r="J1774">
        <f t="shared" si="112"/>
        <v>0</v>
      </c>
      <c r="K1774">
        <f ca="1">SUM($J$2:J1774)/I1774</f>
        <v>108.23210808822029</v>
      </c>
      <c r="M1774">
        <v>1772</v>
      </c>
      <c r="N1774">
        <f t="shared" si="113"/>
        <v>0</v>
      </c>
      <c r="O1774">
        <f ca="1">SUM($N$2:N1774)/M1774</f>
        <v>110.1556235864024</v>
      </c>
    </row>
    <row r="1775" spans="1:15" x14ac:dyDescent="0.2">
      <c r="A1775">
        <v>1773</v>
      </c>
      <c r="B1775" s="11">
        <f t="shared" si="110"/>
        <v>0</v>
      </c>
      <c r="C1775">
        <f ca="1">SUM($B$2:B1775)/A1775</f>
        <v>108.17106347000923</v>
      </c>
      <c r="E1775">
        <v>1773</v>
      </c>
      <c r="F1775" s="11">
        <f t="shared" si="111"/>
        <v>0</v>
      </c>
      <c r="G1775">
        <f ca="1">SUM($F$2:F1775)/E1775</f>
        <v>110.09349407507335</v>
      </c>
      <c r="I1775">
        <v>1773</v>
      </c>
      <c r="J1775">
        <f t="shared" si="112"/>
        <v>0</v>
      </c>
      <c r="K1775">
        <f ca="1">SUM($J$2:J1775)/I1775</f>
        <v>108.17106347000923</v>
      </c>
      <c r="M1775">
        <v>1773</v>
      </c>
      <c r="N1775">
        <f t="shared" si="113"/>
        <v>0</v>
      </c>
      <c r="O1775">
        <f ca="1">SUM($N$2:N1775)/M1775</f>
        <v>110.09349407507335</v>
      </c>
    </row>
    <row r="1776" spans="1:15" x14ac:dyDescent="0.2">
      <c r="A1776">
        <v>1774</v>
      </c>
      <c r="B1776" s="11">
        <f t="shared" si="110"/>
        <v>0</v>
      </c>
      <c r="C1776">
        <f ca="1">SUM($B$2:B1776)/A1776</f>
        <v>108.11008767323921</v>
      </c>
      <c r="E1776">
        <v>1774</v>
      </c>
      <c r="F1776" s="11">
        <f t="shared" si="111"/>
        <v>0</v>
      </c>
      <c r="G1776">
        <f ca="1">SUM($F$2:F1776)/E1776</f>
        <v>110.0314346082892</v>
      </c>
      <c r="I1776">
        <v>1774</v>
      </c>
      <c r="J1776">
        <f t="shared" si="112"/>
        <v>0</v>
      </c>
      <c r="K1776">
        <f ca="1">SUM($J$2:J1776)/I1776</f>
        <v>108.11008767323921</v>
      </c>
      <c r="M1776">
        <v>1774</v>
      </c>
      <c r="N1776">
        <f t="shared" si="113"/>
        <v>0</v>
      </c>
      <c r="O1776">
        <f ca="1">SUM($N$2:N1776)/M1776</f>
        <v>110.0314346082892</v>
      </c>
    </row>
    <row r="1777" spans="1:15" x14ac:dyDescent="0.2">
      <c r="A1777">
        <v>1775</v>
      </c>
      <c r="B1777" s="11">
        <f t="shared" si="110"/>
        <v>0</v>
      </c>
      <c r="C1777">
        <f ca="1">SUM($B$2:B1777)/A1777</f>
        <v>108.04918058159231</v>
      </c>
      <c r="E1777">
        <v>1775</v>
      </c>
      <c r="F1777" s="11">
        <f t="shared" si="111"/>
        <v>0</v>
      </c>
      <c r="G1777">
        <f ca="1">SUM($F$2:F1777)/E1777</f>
        <v>109.96944506766481</v>
      </c>
      <c r="I1777">
        <v>1775</v>
      </c>
      <c r="J1777">
        <f t="shared" si="112"/>
        <v>0</v>
      </c>
      <c r="K1777">
        <f ca="1">SUM($J$2:J1777)/I1777</f>
        <v>108.04918058159231</v>
      </c>
      <c r="M1777">
        <v>1775</v>
      </c>
      <c r="N1777">
        <f t="shared" si="113"/>
        <v>0</v>
      </c>
      <c r="O1777">
        <f ca="1">SUM($N$2:N1777)/M1777</f>
        <v>109.96944506766481</v>
      </c>
    </row>
    <row r="1778" spans="1:15" x14ac:dyDescent="0.2">
      <c r="A1778">
        <v>1776</v>
      </c>
      <c r="B1778" s="11">
        <f t="shared" si="110"/>
        <v>0</v>
      </c>
      <c r="C1778">
        <f ca="1">SUM($B$2:B1778)/A1778</f>
        <v>107.9883420790126</v>
      </c>
      <c r="E1778">
        <v>1776</v>
      </c>
      <c r="F1778" s="11">
        <f t="shared" si="111"/>
        <v>0</v>
      </c>
      <c r="G1778">
        <f ca="1">SUM($F$2:F1778)/E1778</f>
        <v>109.90752533508167</v>
      </c>
      <c r="I1778">
        <v>1776</v>
      </c>
      <c r="J1778">
        <f t="shared" si="112"/>
        <v>0</v>
      </c>
      <c r="K1778">
        <f ca="1">SUM($J$2:J1778)/I1778</f>
        <v>107.9883420790126</v>
      </c>
      <c r="M1778">
        <v>1776</v>
      </c>
      <c r="N1778">
        <f t="shared" si="113"/>
        <v>0</v>
      </c>
      <c r="O1778">
        <f ca="1">SUM($N$2:N1778)/M1778</f>
        <v>109.90752533508167</v>
      </c>
    </row>
    <row r="1779" spans="1:15" x14ac:dyDescent="0.2">
      <c r="A1779">
        <v>1777</v>
      </c>
      <c r="B1779" s="11">
        <f t="shared" si="110"/>
        <v>0</v>
      </c>
      <c r="C1779">
        <f ca="1">SUM($B$2:B1779)/A1779</f>
        <v>107.92757204970532</v>
      </c>
      <c r="E1779">
        <v>1777</v>
      </c>
      <c r="F1779" s="11">
        <f t="shared" si="111"/>
        <v>0</v>
      </c>
      <c r="G1779">
        <f ca="1">SUM($F$2:F1779)/E1779</f>
        <v>109.84567529268713</v>
      </c>
      <c r="I1779">
        <v>1777</v>
      </c>
      <c r="J1779">
        <f t="shared" si="112"/>
        <v>0</v>
      </c>
      <c r="K1779">
        <f ca="1">SUM($J$2:J1779)/I1779</f>
        <v>107.92757204970532</v>
      </c>
      <c r="M1779">
        <v>1777</v>
      </c>
      <c r="N1779">
        <f t="shared" si="113"/>
        <v>0</v>
      </c>
      <c r="O1779">
        <f ca="1">SUM($N$2:N1779)/M1779</f>
        <v>109.84567529268713</v>
      </c>
    </row>
    <row r="1780" spans="1:15" x14ac:dyDescent="0.2">
      <c r="A1780">
        <v>1778</v>
      </c>
      <c r="B1780" s="11">
        <f t="shared" si="110"/>
        <v>0</v>
      </c>
      <c r="C1780">
        <f ca="1">SUM($B$2:B1780)/A1780</f>
        <v>107.86687037813631</v>
      </c>
      <c r="E1780">
        <v>1778</v>
      </c>
      <c r="F1780" s="11">
        <f t="shared" si="111"/>
        <v>0</v>
      </c>
      <c r="G1780">
        <f ca="1">SUM($F$2:F1780)/E1780</f>
        <v>109.78389482289373</v>
      </c>
      <c r="I1780">
        <v>1778</v>
      </c>
      <c r="J1780">
        <f t="shared" si="112"/>
        <v>0</v>
      </c>
      <c r="K1780">
        <f ca="1">SUM($J$2:J1780)/I1780</f>
        <v>107.86687037813631</v>
      </c>
      <c r="M1780">
        <v>1778</v>
      </c>
      <c r="N1780">
        <f t="shared" si="113"/>
        <v>0</v>
      </c>
      <c r="O1780">
        <f ca="1">SUM($N$2:N1780)/M1780</f>
        <v>109.78389482289373</v>
      </c>
    </row>
    <row r="1781" spans="1:15" x14ac:dyDescent="0.2">
      <c r="A1781">
        <v>1779</v>
      </c>
      <c r="B1781" s="11">
        <f t="shared" si="110"/>
        <v>0</v>
      </c>
      <c r="C1781">
        <f ca="1">SUM($B$2:B1781)/A1781</f>
        <v>107.80623694903112</v>
      </c>
      <c r="E1781">
        <v>1779</v>
      </c>
      <c r="F1781" s="11">
        <f t="shared" si="111"/>
        <v>0</v>
      </c>
      <c r="G1781">
        <f ca="1">SUM($F$2:F1781)/E1781</f>
        <v>109.72218380837832</v>
      </c>
      <c r="I1781">
        <v>1779</v>
      </c>
      <c r="J1781">
        <f t="shared" si="112"/>
        <v>0</v>
      </c>
      <c r="K1781">
        <f ca="1">SUM($J$2:J1781)/I1781</f>
        <v>107.80623694903112</v>
      </c>
      <c r="M1781">
        <v>1779</v>
      </c>
      <c r="N1781">
        <f t="shared" si="113"/>
        <v>0</v>
      </c>
      <c r="O1781">
        <f ca="1">SUM($N$2:N1781)/M1781</f>
        <v>109.72218380837832</v>
      </c>
    </row>
    <row r="1782" spans="1:15" x14ac:dyDescent="0.2">
      <c r="A1782">
        <v>1780</v>
      </c>
      <c r="B1782" s="11">
        <f t="shared" si="110"/>
        <v>0</v>
      </c>
      <c r="C1782">
        <f ca="1">SUM($B$2:B1782)/A1782</f>
        <v>107.74567164737437</v>
      </c>
      <c r="E1782">
        <v>1780</v>
      </c>
      <c r="F1782" s="11">
        <f t="shared" si="111"/>
        <v>0</v>
      </c>
      <c r="G1782">
        <f ca="1">SUM($F$2:F1782)/E1782</f>
        <v>109.66054213208149</v>
      </c>
      <c r="I1782">
        <v>1780</v>
      </c>
      <c r="J1782">
        <f t="shared" si="112"/>
        <v>0</v>
      </c>
      <c r="K1782">
        <f ca="1">SUM($J$2:J1782)/I1782</f>
        <v>107.74567164737437</v>
      </c>
      <c r="M1782">
        <v>1780</v>
      </c>
      <c r="N1782">
        <f t="shared" si="113"/>
        <v>0</v>
      </c>
      <c r="O1782">
        <f ca="1">SUM($N$2:N1782)/M1782</f>
        <v>109.66054213208149</v>
      </c>
    </row>
    <row r="1783" spans="1:15" x14ac:dyDescent="0.2">
      <c r="A1783">
        <v>1781</v>
      </c>
      <c r="B1783" s="11">
        <f t="shared" si="110"/>
        <v>0</v>
      </c>
      <c r="C1783">
        <f ca="1">SUM($B$2:B1783)/A1783</f>
        <v>107.68517435840896</v>
      </c>
      <c r="E1783">
        <v>1781</v>
      </c>
      <c r="F1783" s="11">
        <f t="shared" si="111"/>
        <v>0</v>
      </c>
      <c r="G1783">
        <f ca="1">SUM($F$2:F1783)/E1783</f>
        <v>109.59896967720665</v>
      </c>
      <c r="I1783">
        <v>1781</v>
      </c>
      <c r="J1783">
        <f t="shared" si="112"/>
        <v>0</v>
      </c>
      <c r="K1783">
        <f ca="1">SUM($J$2:J1783)/I1783</f>
        <v>107.68517435840896</v>
      </c>
      <c r="M1783">
        <v>1781</v>
      </c>
      <c r="N1783">
        <f t="shared" si="113"/>
        <v>0</v>
      </c>
      <c r="O1783">
        <f ca="1">SUM($N$2:N1783)/M1783</f>
        <v>109.59896967720665</v>
      </c>
    </row>
    <row r="1784" spans="1:15" x14ac:dyDescent="0.2">
      <c r="A1784">
        <v>1782</v>
      </c>
      <c r="B1784" s="11">
        <f t="shared" si="110"/>
        <v>0</v>
      </c>
      <c r="C1784">
        <f ca="1">SUM($B$2:B1784)/A1784</f>
        <v>107.62474496763544</v>
      </c>
      <c r="E1784">
        <v>1782</v>
      </c>
      <c r="F1784" s="11">
        <f t="shared" si="111"/>
        <v>0</v>
      </c>
      <c r="G1784">
        <f ca="1">SUM($F$2:F1784)/E1784</f>
        <v>109.53746632721943</v>
      </c>
      <c r="I1784">
        <v>1782</v>
      </c>
      <c r="J1784">
        <f t="shared" si="112"/>
        <v>0</v>
      </c>
      <c r="K1784">
        <f ca="1">SUM($J$2:J1784)/I1784</f>
        <v>107.62474496763544</v>
      </c>
      <c r="M1784">
        <v>1782</v>
      </c>
      <c r="N1784">
        <f t="shared" si="113"/>
        <v>0</v>
      </c>
      <c r="O1784">
        <f ca="1">SUM($N$2:N1784)/M1784</f>
        <v>109.53746632721943</v>
      </c>
    </row>
    <row r="1785" spans="1:15" x14ac:dyDescent="0.2">
      <c r="A1785">
        <v>1783</v>
      </c>
      <c r="B1785" s="11">
        <f t="shared" si="110"/>
        <v>0</v>
      </c>
      <c r="C1785">
        <f ca="1">SUM($B$2:B1785)/A1785</f>
        <v>107.56438336081119</v>
      </c>
      <c r="E1785">
        <v>1783</v>
      </c>
      <c r="F1785" s="11">
        <f t="shared" si="111"/>
        <v>0</v>
      </c>
      <c r="G1785">
        <f ca="1">SUM($F$2:F1785)/E1785</f>
        <v>109.47603196584691</v>
      </c>
      <c r="I1785">
        <v>1783</v>
      </c>
      <c r="J1785">
        <f t="shared" si="112"/>
        <v>0</v>
      </c>
      <c r="K1785">
        <f ca="1">SUM($J$2:J1785)/I1785</f>
        <v>107.56438336081119</v>
      </c>
      <c r="M1785">
        <v>1783</v>
      </c>
      <c r="N1785">
        <f t="shared" si="113"/>
        <v>0</v>
      </c>
      <c r="O1785">
        <f ca="1">SUM($N$2:N1785)/M1785</f>
        <v>109.47603196584691</v>
      </c>
    </row>
    <row r="1786" spans="1:15" x14ac:dyDescent="0.2">
      <c r="A1786">
        <v>1784</v>
      </c>
      <c r="B1786" s="11">
        <f t="shared" si="110"/>
        <v>0</v>
      </c>
      <c r="C1786">
        <f ca="1">SUM($B$2:B1786)/A1786</f>
        <v>107.50408942394975</v>
      </c>
      <c r="E1786">
        <v>1784</v>
      </c>
      <c r="F1786" s="11">
        <f t="shared" si="111"/>
        <v>0</v>
      </c>
      <c r="G1786">
        <f ca="1">SUM($F$2:F1786)/E1786</f>
        <v>109.41466647707682</v>
      </c>
      <c r="I1786">
        <v>1784</v>
      </c>
      <c r="J1786">
        <f t="shared" si="112"/>
        <v>0</v>
      </c>
      <c r="K1786">
        <f ca="1">SUM($J$2:J1786)/I1786</f>
        <v>107.50408942394975</v>
      </c>
      <c r="M1786">
        <v>1784</v>
      </c>
      <c r="N1786">
        <f t="shared" si="113"/>
        <v>0</v>
      </c>
      <c r="O1786">
        <f ca="1">SUM($N$2:N1786)/M1786</f>
        <v>109.41466647707682</v>
      </c>
    </row>
    <row r="1787" spans="1:15" x14ac:dyDescent="0.2">
      <c r="A1787">
        <v>1785</v>
      </c>
      <c r="B1787" s="11">
        <f t="shared" si="110"/>
        <v>0</v>
      </c>
      <c r="C1787">
        <f ca="1">SUM($B$2:B1787)/A1787</f>
        <v>107.44386304332009</v>
      </c>
      <c r="E1787">
        <v>1785</v>
      </c>
      <c r="F1787" s="11">
        <f t="shared" si="111"/>
        <v>0</v>
      </c>
      <c r="G1787">
        <f ca="1">SUM($F$2:F1787)/E1787</f>
        <v>109.35336974515688</v>
      </c>
      <c r="I1787">
        <v>1785</v>
      </c>
      <c r="J1787">
        <f t="shared" si="112"/>
        <v>0</v>
      </c>
      <c r="K1787">
        <f ca="1">SUM($J$2:J1787)/I1787</f>
        <v>107.44386304332009</v>
      </c>
      <c r="M1787">
        <v>1785</v>
      </c>
      <c r="N1787">
        <f t="shared" si="113"/>
        <v>0</v>
      </c>
      <c r="O1787">
        <f ca="1">SUM($N$2:N1787)/M1787</f>
        <v>109.35336974515688</v>
      </c>
    </row>
    <row r="1788" spans="1:15" x14ac:dyDescent="0.2">
      <c r="A1788">
        <v>1786</v>
      </c>
      <c r="B1788" s="11">
        <f t="shared" si="110"/>
        <v>0</v>
      </c>
      <c r="C1788">
        <f ca="1">SUM($B$2:B1788)/A1788</f>
        <v>107.38370410544589</v>
      </c>
      <c r="E1788">
        <v>1786</v>
      </c>
      <c r="F1788" s="11">
        <f t="shared" si="111"/>
        <v>0</v>
      </c>
      <c r="G1788">
        <f ca="1">SUM($F$2:F1788)/E1788</f>
        <v>109.29214165459409</v>
      </c>
      <c r="I1788">
        <v>1786</v>
      </c>
      <c r="J1788">
        <f t="shared" si="112"/>
        <v>0</v>
      </c>
      <c r="K1788">
        <f ca="1">SUM($J$2:J1788)/I1788</f>
        <v>107.38370410544589</v>
      </c>
      <c r="M1788">
        <v>1786</v>
      </c>
      <c r="N1788">
        <f t="shared" si="113"/>
        <v>0</v>
      </c>
      <c r="O1788">
        <f ca="1">SUM($N$2:N1788)/M1788</f>
        <v>109.29214165459409</v>
      </c>
    </row>
    <row r="1789" spans="1:15" x14ac:dyDescent="0.2">
      <c r="A1789">
        <v>1787</v>
      </c>
      <c r="B1789" s="11">
        <f t="shared" si="110"/>
        <v>0</v>
      </c>
      <c r="C1789">
        <f ca="1">SUM($B$2:B1789)/A1789</f>
        <v>107.32361249710485</v>
      </c>
      <c r="E1789">
        <v>1787</v>
      </c>
      <c r="F1789" s="11">
        <f t="shared" si="111"/>
        <v>0</v>
      </c>
      <c r="G1789">
        <f ca="1">SUM($F$2:F1789)/E1789</f>
        <v>109.23098209015392</v>
      </c>
      <c r="I1789">
        <v>1787</v>
      </c>
      <c r="J1789">
        <f t="shared" si="112"/>
        <v>0</v>
      </c>
      <c r="K1789">
        <f ca="1">SUM($J$2:J1789)/I1789</f>
        <v>107.32361249710485</v>
      </c>
      <c r="M1789">
        <v>1787</v>
      </c>
      <c r="N1789">
        <f t="shared" si="113"/>
        <v>0</v>
      </c>
      <c r="O1789">
        <f ca="1">SUM($N$2:N1789)/M1789</f>
        <v>109.23098209015392</v>
      </c>
    </row>
    <row r="1790" spans="1:15" x14ac:dyDescent="0.2">
      <c r="A1790">
        <v>1788</v>
      </c>
      <c r="B1790" s="11">
        <f t="shared" si="110"/>
        <v>0</v>
      </c>
      <c r="C1790">
        <f ca="1">SUM($B$2:B1790)/A1790</f>
        <v>107.26358810532794</v>
      </c>
      <c r="E1790">
        <v>1788</v>
      </c>
      <c r="F1790" s="11">
        <f t="shared" si="111"/>
        <v>0</v>
      </c>
      <c r="G1790">
        <f ca="1">SUM($F$2:F1790)/E1790</f>
        <v>109.16989093685964</v>
      </c>
      <c r="I1790">
        <v>1788</v>
      </c>
      <c r="J1790">
        <f t="shared" si="112"/>
        <v>0</v>
      </c>
      <c r="K1790">
        <f ca="1">SUM($J$2:J1790)/I1790</f>
        <v>107.26358810532794</v>
      </c>
      <c r="M1790">
        <v>1788</v>
      </c>
      <c r="N1790">
        <f t="shared" si="113"/>
        <v>0</v>
      </c>
      <c r="O1790">
        <f ca="1">SUM($N$2:N1790)/M1790</f>
        <v>109.16989093685964</v>
      </c>
    </row>
    <row r="1791" spans="1:15" x14ac:dyDescent="0.2">
      <c r="A1791">
        <v>1789</v>
      </c>
      <c r="B1791" s="11">
        <f t="shared" si="110"/>
        <v>0</v>
      </c>
      <c r="C1791">
        <f ca="1">SUM($B$2:B1791)/A1791</f>
        <v>107.20363081739875</v>
      </c>
      <c r="E1791">
        <v>1789</v>
      </c>
      <c r="F1791" s="11">
        <f t="shared" si="111"/>
        <v>0</v>
      </c>
      <c r="G1791">
        <f ca="1">SUM($F$2:F1791)/E1791</f>
        <v>109.10886807999164</v>
      </c>
      <c r="I1791">
        <v>1789</v>
      </c>
      <c r="J1791">
        <f t="shared" si="112"/>
        <v>0</v>
      </c>
      <c r="K1791">
        <f ca="1">SUM($J$2:J1791)/I1791</f>
        <v>107.20363081739875</v>
      </c>
      <c r="M1791">
        <v>1789</v>
      </c>
      <c r="N1791">
        <f t="shared" si="113"/>
        <v>0</v>
      </c>
      <c r="O1791">
        <f ca="1">SUM($N$2:N1791)/M1791</f>
        <v>109.10886807999164</v>
      </c>
    </row>
    <row r="1792" spans="1:15" x14ac:dyDescent="0.2">
      <c r="A1792">
        <v>1790</v>
      </c>
      <c r="B1792" s="11">
        <f t="shared" si="110"/>
        <v>0</v>
      </c>
      <c r="C1792">
        <f ca="1">SUM($B$2:B1792)/A1792</f>
        <v>107.14374052085272</v>
      </c>
      <c r="E1792">
        <v>1790</v>
      </c>
      <c r="F1792" s="11">
        <f t="shared" si="111"/>
        <v>0</v>
      </c>
      <c r="G1792">
        <f ca="1">SUM($F$2:F1792)/E1792</f>
        <v>109.04791340508662</v>
      </c>
      <c r="I1792">
        <v>1790</v>
      </c>
      <c r="J1792">
        <f t="shared" si="112"/>
        <v>0</v>
      </c>
      <c r="K1792">
        <f ca="1">SUM($J$2:J1792)/I1792</f>
        <v>107.14374052085272</v>
      </c>
      <c r="M1792">
        <v>1790</v>
      </c>
      <c r="N1792">
        <f t="shared" si="113"/>
        <v>0</v>
      </c>
      <c r="O1792">
        <f ca="1">SUM($N$2:N1792)/M1792</f>
        <v>109.04791340508662</v>
      </c>
    </row>
    <row r="1793" spans="1:15" x14ac:dyDescent="0.2">
      <c r="A1793">
        <v>1791</v>
      </c>
      <c r="B1793" s="11">
        <f t="shared" si="110"/>
        <v>0</v>
      </c>
      <c r="C1793">
        <f ca="1">SUM($B$2:B1793)/A1793</f>
        <v>107.08391710347647</v>
      </c>
      <c r="E1793">
        <v>1791</v>
      </c>
      <c r="F1793" s="11">
        <f t="shared" si="111"/>
        <v>0</v>
      </c>
      <c r="G1793">
        <f ca="1">SUM($F$2:F1793)/E1793</f>
        <v>108.98702679793693</v>
      </c>
      <c r="I1793">
        <v>1791</v>
      </c>
      <c r="J1793">
        <f t="shared" si="112"/>
        <v>0</v>
      </c>
      <c r="K1793">
        <f ca="1">SUM($J$2:J1793)/I1793</f>
        <v>107.08391710347647</v>
      </c>
      <c r="M1793">
        <v>1791</v>
      </c>
      <c r="N1793">
        <f t="shared" si="113"/>
        <v>0</v>
      </c>
      <c r="O1793">
        <f ca="1">SUM($N$2:N1793)/M1793</f>
        <v>108.98702679793693</v>
      </c>
    </row>
    <row r="1794" spans="1:15" x14ac:dyDescent="0.2">
      <c r="A1794">
        <v>1792</v>
      </c>
      <c r="B1794" s="11">
        <f t="shared" si="110"/>
        <v>0</v>
      </c>
      <c r="C1794">
        <f ca="1">SUM($B$2:B1794)/A1794</f>
        <v>107.02416045330712</v>
      </c>
      <c r="E1794">
        <v>1792</v>
      </c>
      <c r="F1794" s="11">
        <f t="shared" si="111"/>
        <v>0</v>
      </c>
      <c r="G1794">
        <f ca="1">SUM($F$2:F1794)/E1794</f>
        <v>108.92620814458986</v>
      </c>
      <c r="I1794">
        <v>1792</v>
      </c>
      <c r="J1794">
        <f t="shared" si="112"/>
        <v>0</v>
      </c>
      <c r="K1794">
        <f ca="1">SUM($J$2:J1794)/I1794</f>
        <v>107.02416045330712</v>
      </c>
      <c r="M1794">
        <v>1792</v>
      </c>
      <c r="N1794">
        <f t="shared" si="113"/>
        <v>0</v>
      </c>
      <c r="O1794">
        <f ca="1">SUM($N$2:N1794)/M1794</f>
        <v>108.92620814458986</v>
      </c>
    </row>
    <row r="1795" spans="1:15" x14ac:dyDescent="0.2">
      <c r="A1795">
        <v>1793</v>
      </c>
      <c r="B1795" s="11">
        <f t="shared" ref="B1795:B1802" si="114">IF(ARCap-IF((A1795-IF(A1795/180&gt;1,ROUNDDOWN(A1795/180,0)*180,0))/30&lt;=1,IF(200*15*BaseSpeed/60*(YellowConnects+WhiteMHConnects+WhiteOHConnects+HoJConnects+WindfuryConnects+SSConnects+IronfoeConnects)*(A1795-180*ROUNDDOWN(A1795/180,0))&gt;1200,1200,200*15*BaseSpeed/60*(YellowConnects+WhiteMHConnects+WhiteOHConnects+HoJConnects+WindfuryConnects+SSConnects+IronfoeConnects)*(A1795-180*ROUNDDOWN(A1795/180,0))),0)&lt;0,ARCap,IF((A1795-IF(A1795/180&gt;1,ROUNDDOWN(A1794/180,0)*180,0))/30&lt;=1,IF(200*15*BaseSpeed/60*(YellowConnects+WhiteMHConnects+WhiteOHConnects+HoJConnects+WindfuryConnects+SSConnects+IronfoeConnects)*(A1795-180*ROUNDDOWN(A1795/180,0))&gt;1200,1200,200*15*BaseSpeed/60*(YellowConnects+WhiteMHConnects+WhiteOHConnects+HoJConnects+WindfuryConnects+SSConnects+IronfoeConnects)*(A1795-180*ROUNDDOWN(A1795/180,0))),0))</f>
        <v>0</v>
      </c>
      <c r="C1795">
        <f ca="1">SUM($B$2:B1795)/A1795</f>
        <v>106.96447045863154</v>
      </c>
      <c r="E1795">
        <v>1793</v>
      </c>
      <c r="F1795" s="11">
        <f t="shared" ref="F1795:F1802" si="115">IF(ARCap-IF((A1795-IF(A1795/180&gt;1,ROUNDDOWN(A1795/180,0)*180,0))/30&lt;=1,IF(200*15*BaseSpeed/60*(YellowConnects20+WhiteMHConnects20+WhiteOHConnects20+HoJConnects20+WindfuryConnects20+SSConnects20+IronfoeConnects20)*(A1795-180*ROUNDDOWN(A1795/180,0))&gt;1200,1200,200*15*BaseSpeed/60*(YellowConnects20+WhiteMHConnects20+WhiteOHConnects20+HoJConnects20+WindfuryConnects20+SSConnects20+IronfoeConnects20)*(A1795-180*ROUNDDOWN(A1795/180,0))),0)&lt;0,ARCap,IF((A1795-IF(A1795/180&gt;1,ROUNDDOWN(A1795/180,0)*180,0))/30&lt;=1,IF(200*15*BaseSpeed/60*(YellowConnects20+WhiteMHConnects20+WhiteOHConnects20+HoJConnects20+WindfuryConnects20+SSConnects20+IronfoeConnects20)*(A1795-180*ROUNDDOWN(A1795/180,0))&gt;1200,1200,200*15*BaseSpeed/60*(YellowConnects20+WhiteMHConnects20+WhiteOHConnects20+HoJConnects20+WindfuryConnects20+SSConnects20+IronfoeConnects20)*(A1795-180*ROUNDDOWN(A1795/180,0))),0))</f>
        <v>0</v>
      </c>
      <c r="G1795">
        <f ca="1">SUM($F$2:F1795)/E1795</f>
        <v>108.86545733134693</v>
      </c>
      <c r="I1795">
        <v>1793</v>
      </c>
      <c r="J1795">
        <f t="shared" ref="J1795:J1802" si="116">IF(ARCap-(B1795+BRE)&lt;0,ARCap,B1795+BRE)</f>
        <v>0</v>
      </c>
      <c r="K1795">
        <f ca="1">SUM($J$2:J1795)/I1795</f>
        <v>106.96447045863154</v>
      </c>
      <c r="M1795">
        <v>1793</v>
      </c>
      <c r="N1795">
        <f t="shared" ref="N1795:N1802" si="117">IF(ARCap-(F1795+BREArmorReduction20)&lt;0,ARCap,F1795+BREArmorReduction20)</f>
        <v>0</v>
      </c>
      <c r="O1795">
        <f ca="1">SUM($N$2:N1795)/M1795</f>
        <v>108.86545733134693</v>
      </c>
    </row>
    <row r="1796" spans="1:15" x14ac:dyDescent="0.2">
      <c r="A1796">
        <v>1794</v>
      </c>
      <c r="B1796" s="11">
        <f t="shared" si="114"/>
        <v>0</v>
      </c>
      <c r="C1796">
        <f ca="1">SUM($B$2:B1796)/A1796</f>
        <v>106.90484700798571</v>
      </c>
      <c r="E1796">
        <v>1794</v>
      </c>
      <c r="F1796" s="11">
        <f t="shared" si="115"/>
        <v>0</v>
      </c>
      <c r="G1796">
        <f ca="1">SUM($F$2:F1796)/E1796</f>
        <v>108.80477424476312</v>
      </c>
      <c r="I1796">
        <v>1794</v>
      </c>
      <c r="J1796">
        <f t="shared" si="116"/>
        <v>0</v>
      </c>
      <c r="K1796">
        <f ca="1">SUM($J$2:J1796)/I1796</f>
        <v>106.90484700798571</v>
      </c>
      <c r="M1796">
        <v>1794</v>
      </c>
      <c r="N1796">
        <f t="shared" si="117"/>
        <v>0</v>
      </c>
      <c r="O1796">
        <f ca="1">SUM($N$2:N1796)/M1796</f>
        <v>108.80477424476312</v>
      </c>
    </row>
    <row r="1797" spans="1:15" x14ac:dyDescent="0.2">
      <c r="A1797">
        <v>1795</v>
      </c>
      <c r="B1797" s="11">
        <f t="shared" si="114"/>
        <v>0</v>
      </c>
      <c r="C1797">
        <f ca="1">SUM($B$2:B1797)/A1797</f>
        <v>106.84528999015396</v>
      </c>
      <c r="E1797">
        <v>1795</v>
      </c>
      <c r="F1797" s="11">
        <f t="shared" si="115"/>
        <v>0</v>
      </c>
      <c r="G1797">
        <f ca="1">SUM($F$2:F1797)/E1797</f>
        <v>108.74415877164627</v>
      </c>
      <c r="I1797">
        <v>1795</v>
      </c>
      <c r="J1797">
        <f t="shared" si="116"/>
        <v>0</v>
      </c>
      <c r="K1797">
        <f ca="1">SUM($J$2:J1797)/I1797</f>
        <v>106.84528999015396</v>
      </c>
      <c r="M1797">
        <v>1795</v>
      </c>
      <c r="N1797">
        <f t="shared" si="117"/>
        <v>0</v>
      </c>
      <c r="O1797">
        <f ca="1">SUM($N$2:N1797)/M1797</f>
        <v>108.74415877164627</v>
      </c>
    </row>
    <row r="1798" spans="1:15" x14ac:dyDescent="0.2">
      <c r="A1798">
        <v>1796</v>
      </c>
      <c r="B1798" s="11">
        <f t="shared" si="114"/>
        <v>0</v>
      </c>
      <c r="C1798">
        <f ca="1">SUM($B$2:B1798)/A1798</f>
        <v>106.78579929416836</v>
      </c>
      <c r="E1798">
        <v>1796</v>
      </c>
      <c r="F1798" s="11">
        <f t="shared" si="115"/>
        <v>0</v>
      </c>
      <c r="G1798">
        <f ca="1">SUM($F$2:F1798)/E1798</f>
        <v>108.68361079905625</v>
      </c>
      <c r="I1798">
        <v>1796</v>
      </c>
      <c r="J1798">
        <f t="shared" si="116"/>
        <v>0</v>
      </c>
      <c r="K1798">
        <f ca="1">SUM($J$2:J1798)/I1798</f>
        <v>106.78579929416836</v>
      </c>
      <c r="M1798">
        <v>1796</v>
      </c>
      <c r="N1798">
        <f t="shared" si="117"/>
        <v>0</v>
      </c>
      <c r="O1798">
        <f ca="1">SUM($N$2:N1798)/M1798</f>
        <v>108.68361079905625</v>
      </c>
    </row>
    <row r="1799" spans="1:15" x14ac:dyDescent="0.2">
      <c r="A1799">
        <v>1797</v>
      </c>
      <c r="B1799" s="11">
        <f t="shared" si="114"/>
        <v>0</v>
      </c>
      <c r="C1799">
        <f ca="1">SUM($B$2:B1799)/A1799</f>
        <v>106.72637480930794</v>
      </c>
      <c r="E1799">
        <v>1797</v>
      </c>
      <c r="F1799" s="11">
        <f t="shared" si="115"/>
        <v>0</v>
      </c>
      <c r="G1799">
        <f ca="1">SUM($F$2:F1799)/E1799</f>
        <v>108.62313021430442</v>
      </c>
      <c r="I1799">
        <v>1797</v>
      </c>
      <c r="J1799">
        <f t="shared" si="116"/>
        <v>0</v>
      </c>
      <c r="K1799">
        <f ca="1">SUM($J$2:J1799)/I1799</f>
        <v>106.72637480930794</v>
      </c>
      <c r="M1799">
        <v>1797</v>
      </c>
      <c r="N1799">
        <f t="shared" si="117"/>
        <v>0</v>
      </c>
      <c r="O1799">
        <f ca="1">SUM($N$2:N1799)/M1799</f>
        <v>108.62313021430442</v>
      </c>
    </row>
    <row r="1800" spans="1:15" x14ac:dyDescent="0.2">
      <c r="A1800">
        <v>1798</v>
      </c>
      <c r="B1800" s="11">
        <f t="shared" si="114"/>
        <v>0</v>
      </c>
      <c r="C1800">
        <f ca="1">SUM($B$2:B1800)/A1800</f>
        <v>106.66701642509808</v>
      </c>
      <c r="E1800">
        <v>1798</v>
      </c>
      <c r="F1800" s="11">
        <f t="shared" si="115"/>
        <v>0</v>
      </c>
      <c r="G1800">
        <f ca="1">SUM($F$2:F1800)/E1800</f>
        <v>108.56271690495275</v>
      </c>
      <c r="I1800">
        <v>1798</v>
      </c>
      <c r="J1800">
        <f t="shared" si="116"/>
        <v>0</v>
      </c>
      <c r="K1800">
        <f ca="1">SUM($J$2:J1800)/I1800</f>
        <v>106.66701642509808</v>
      </c>
      <c r="M1800">
        <v>1798</v>
      </c>
      <c r="N1800">
        <f t="shared" si="117"/>
        <v>0</v>
      </c>
      <c r="O1800">
        <f ca="1">SUM($N$2:N1800)/M1800</f>
        <v>108.56271690495275</v>
      </c>
    </row>
    <row r="1801" spans="1:15" x14ac:dyDescent="0.2">
      <c r="A1801">
        <v>1799</v>
      </c>
      <c r="B1801" s="11">
        <f t="shared" si="114"/>
        <v>0</v>
      </c>
      <c r="C1801">
        <f ca="1">SUM($B$2:B1801)/A1801</f>
        <v>106.60772403130981</v>
      </c>
      <c r="E1801">
        <v>1799</v>
      </c>
      <c r="F1801" s="11">
        <f t="shared" si="115"/>
        <v>0</v>
      </c>
      <c r="G1801">
        <f ca="1">SUM($F$2:F1801)/E1801</f>
        <v>108.50237075881326</v>
      </c>
      <c r="I1801">
        <v>1799</v>
      </c>
      <c r="J1801">
        <f t="shared" si="116"/>
        <v>0</v>
      </c>
      <c r="K1801">
        <f ca="1">SUM($J$2:J1801)/I1801</f>
        <v>106.60772403130981</v>
      </c>
      <c r="M1801">
        <v>1799</v>
      </c>
      <c r="N1801">
        <f t="shared" si="117"/>
        <v>0</v>
      </c>
      <c r="O1801">
        <f ca="1">SUM($N$2:N1801)/M1801</f>
        <v>108.50237075881326</v>
      </c>
    </row>
    <row r="1802" spans="1:15" x14ac:dyDescent="0.2">
      <c r="A1802">
        <v>1800</v>
      </c>
      <c r="B1802" s="11">
        <f t="shared" ca="1" si="114"/>
        <v>0</v>
      </c>
      <c r="C1802">
        <f ca="1">SUM($B$2:B1802)/A1802</f>
        <v>106.54849751795909</v>
      </c>
      <c r="E1802">
        <v>1800</v>
      </c>
      <c r="F1802" s="11">
        <f t="shared" ca="1" si="115"/>
        <v>0</v>
      </c>
      <c r="G1802">
        <f ca="1">SUM($F$2:F1802)/E1802</f>
        <v>108.44209166394724</v>
      </c>
      <c r="I1802">
        <v>1800</v>
      </c>
      <c r="J1802">
        <f t="shared" ca="1" si="116"/>
        <v>0</v>
      </c>
      <c r="K1802">
        <f ca="1">SUM($J$2:J1802)/I1802</f>
        <v>106.54849751795909</v>
      </c>
      <c r="M1802">
        <v>1800</v>
      </c>
      <c r="N1802">
        <f t="shared" ca="1" si="117"/>
        <v>0</v>
      </c>
      <c r="O1802">
        <f ca="1">SUM($N$2:N1802)/M1802</f>
        <v>108.44209166394724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5"/>
  <dimension ref="A1:G9"/>
  <sheetViews>
    <sheetView workbookViewId="0">
      <selection activeCell="H18" sqref="H18"/>
    </sheetView>
  </sheetViews>
  <sheetFormatPr defaultRowHeight="12.75" x14ac:dyDescent="0.2"/>
  <sheetData>
    <row r="1" spans="1:7" s="3" customFormat="1" x14ac:dyDescent="0.2">
      <c r="A1" s="3" t="s">
        <v>121</v>
      </c>
      <c r="B1" s="3" t="s">
        <v>3</v>
      </c>
      <c r="C1" s="3" t="s">
        <v>4</v>
      </c>
      <c r="D1" s="3" t="s">
        <v>5</v>
      </c>
      <c r="E1" s="3" t="s">
        <v>6</v>
      </c>
      <c r="F1" s="3" t="s">
        <v>122</v>
      </c>
      <c r="G1" s="3" t="s">
        <v>557</v>
      </c>
    </row>
    <row r="2" spans="1:7" x14ac:dyDescent="0.2">
      <c r="A2" t="s">
        <v>119</v>
      </c>
      <c r="B2">
        <f>97+25</f>
        <v>122</v>
      </c>
      <c r="C2">
        <f>88+25</f>
        <v>113</v>
      </c>
      <c r="D2">
        <f>60+16</f>
        <v>76</v>
      </c>
      <c r="E2">
        <v>160</v>
      </c>
      <c r="F2">
        <v>0</v>
      </c>
    </row>
    <row r="3" spans="1:7" x14ac:dyDescent="0.2">
      <c r="A3" t="s">
        <v>113</v>
      </c>
      <c r="B3">
        <f>97+18</f>
        <v>115</v>
      </c>
      <c r="C3">
        <f>88+21</f>
        <v>109</v>
      </c>
      <c r="D3">
        <f>60+23</f>
        <v>83</v>
      </c>
      <c r="E3" s="4">
        <v>160</v>
      </c>
      <c r="F3" s="4">
        <v>0</v>
      </c>
    </row>
    <row r="4" spans="1:7" x14ac:dyDescent="0.2">
      <c r="A4" t="s">
        <v>118</v>
      </c>
      <c r="B4">
        <f>97+23</f>
        <v>120</v>
      </c>
      <c r="C4">
        <f>88+22</f>
        <v>110</v>
      </c>
      <c r="D4">
        <f>60+20</f>
        <v>80</v>
      </c>
      <c r="E4">
        <v>160</v>
      </c>
      <c r="F4">
        <v>5</v>
      </c>
      <c r="G4" t="str">
        <f>IF(Calcs!E20=0,"2H Varied","Varied")</f>
        <v>Varied</v>
      </c>
    </row>
    <row r="5" spans="1:7" x14ac:dyDescent="0.2">
      <c r="A5" t="s">
        <v>114</v>
      </c>
      <c r="B5">
        <f>97+20</f>
        <v>117</v>
      </c>
      <c r="C5">
        <f>88+21</f>
        <v>109</v>
      </c>
      <c r="D5">
        <f>60+25</f>
        <v>85</v>
      </c>
      <c r="E5">
        <v>160</v>
      </c>
      <c r="F5">
        <v>0</v>
      </c>
    </row>
    <row r="6" spans="1:7" x14ac:dyDescent="0.2">
      <c r="A6" t="s">
        <v>115</v>
      </c>
      <c r="B6">
        <f>97+26</f>
        <v>123</v>
      </c>
      <c r="C6">
        <f>88+24</f>
        <v>112</v>
      </c>
      <c r="D6">
        <f>60+17</f>
        <v>77</v>
      </c>
      <c r="E6">
        <v>160</v>
      </c>
      <c r="F6">
        <v>5</v>
      </c>
      <c r="G6" t="str">
        <f>IF(Calcs!E20=0,"2H Axe","Axe")</f>
        <v>Axe</v>
      </c>
    </row>
    <row r="7" spans="1:7" x14ac:dyDescent="0.2">
      <c r="A7" t="s">
        <v>117</v>
      </c>
      <c r="B7">
        <f>97+28</f>
        <v>125</v>
      </c>
      <c r="C7">
        <f>88+24</f>
        <v>112</v>
      </c>
      <c r="D7">
        <f>60+15</f>
        <v>75</v>
      </c>
      <c r="E7">
        <v>160</v>
      </c>
      <c r="F7">
        <v>0</v>
      </c>
    </row>
    <row r="8" spans="1:7" x14ac:dyDescent="0.2">
      <c r="A8" t="s">
        <v>120</v>
      </c>
      <c r="B8">
        <f>97+24</f>
        <v>121</v>
      </c>
      <c r="C8">
        <f>88+23</f>
        <v>111</v>
      </c>
      <c r="D8">
        <f>60+22</f>
        <v>82</v>
      </c>
      <c r="E8">
        <v>160</v>
      </c>
      <c r="F8">
        <v>0</v>
      </c>
    </row>
    <row r="9" spans="1:7" x14ac:dyDescent="0.2">
      <c r="A9" t="s">
        <v>116</v>
      </c>
      <c r="B9">
        <f>97+22</f>
        <v>119</v>
      </c>
      <c r="C9">
        <f>88+23</f>
        <v>111</v>
      </c>
      <c r="D9">
        <f>60+18</f>
        <v>78</v>
      </c>
      <c r="E9">
        <v>160</v>
      </c>
      <c r="F9">
        <v>0</v>
      </c>
    </row>
  </sheetData>
  <phoneticPr fontId="3" type="noConversion"/>
  <pageMargins left="0.75" right="0.75" top="1" bottom="1" header="0.5" footer="0.5"/>
  <pageSetup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C362"/>
  <sheetViews>
    <sheetView topLeftCell="A314" workbookViewId="0">
      <selection activeCell="E348" sqref="E348"/>
    </sheetView>
  </sheetViews>
  <sheetFormatPr defaultRowHeight="12.75" x14ac:dyDescent="0.2"/>
  <cols>
    <col min="1" max="1" width="25" customWidth="1"/>
  </cols>
  <sheetData>
    <row r="1" spans="1:3" x14ac:dyDescent="0.2">
      <c r="A1" s="12" t="s">
        <v>858</v>
      </c>
      <c r="B1" s="12" t="s">
        <v>847</v>
      </c>
      <c r="C1" s="12" t="s">
        <v>848</v>
      </c>
    </row>
    <row r="2" spans="1:3" x14ac:dyDescent="0.2">
      <c r="B2" s="2" t="s">
        <v>81</v>
      </c>
      <c r="C2" s="2" t="s">
        <v>82</v>
      </c>
    </row>
    <row r="3" spans="1:3" x14ac:dyDescent="0.2">
      <c r="A3" s="1" t="s">
        <v>1141</v>
      </c>
      <c r="B3" s="2"/>
      <c r="C3" s="2"/>
    </row>
    <row r="4" spans="1:3" x14ac:dyDescent="0.2">
      <c r="A4" s="9" t="s">
        <v>1142</v>
      </c>
      <c r="B4" s="2" t="s">
        <v>83</v>
      </c>
      <c r="C4" s="2" t="s">
        <v>86</v>
      </c>
    </row>
    <row r="5" spans="1:3" x14ac:dyDescent="0.2">
      <c r="A5" s="2"/>
      <c r="B5" s="2"/>
      <c r="C5" s="2" t="s">
        <v>92</v>
      </c>
    </row>
    <row r="6" spans="1:3" x14ac:dyDescent="0.2">
      <c r="A6" s="2"/>
      <c r="B6" s="2"/>
      <c r="C6" s="2" t="s">
        <v>90</v>
      </c>
    </row>
    <row r="7" spans="1:3" x14ac:dyDescent="0.2">
      <c r="A7" s="2"/>
      <c r="B7" s="2"/>
      <c r="C7" s="2" t="s">
        <v>91</v>
      </c>
    </row>
    <row r="8" spans="1:3" x14ac:dyDescent="0.2">
      <c r="A8" s="2"/>
      <c r="B8" s="2"/>
      <c r="C8" s="2" t="s">
        <v>87</v>
      </c>
    </row>
    <row r="9" spans="1:3" x14ac:dyDescent="0.2">
      <c r="A9" s="2"/>
      <c r="B9" s="2"/>
      <c r="C9" s="2" t="s">
        <v>88</v>
      </c>
    </row>
    <row r="10" spans="1:3" x14ac:dyDescent="0.2">
      <c r="A10" s="2"/>
      <c r="B10" s="2"/>
      <c r="C10" s="2" t="s">
        <v>89</v>
      </c>
    </row>
    <row r="11" spans="1:3" x14ac:dyDescent="0.2">
      <c r="A11" s="2"/>
      <c r="B11" s="2"/>
      <c r="C11" s="2" t="s">
        <v>93</v>
      </c>
    </row>
    <row r="12" spans="1:3" x14ac:dyDescent="0.2">
      <c r="A12" s="2"/>
      <c r="B12" s="2"/>
      <c r="C12" s="2"/>
    </row>
    <row r="13" spans="1:3" x14ac:dyDescent="0.2">
      <c r="A13" s="2"/>
      <c r="B13" s="2" t="s">
        <v>102</v>
      </c>
      <c r="C13" s="2" t="s">
        <v>103</v>
      </c>
    </row>
    <row r="14" spans="1:3" x14ac:dyDescent="0.2">
      <c r="A14" s="2"/>
      <c r="B14" s="2"/>
      <c r="C14" s="2" t="s">
        <v>104</v>
      </c>
    </row>
    <row r="15" spans="1:3" x14ac:dyDescent="0.2">
      <c r="A15" s="2"/>
      <c r="B15" s="2"/>
      <c r="C15" s="2" t="s">
        <v>107</v>
      </c>
    </row>
    <row r="16" spans="1:3" x14ac:dyDescent="0.2">
      <c r="A16" s="2"/>
      <c r="B16" s="2"/>
      <c r="C16" s="2" t="s">
        <v>105</v>
      </c>
    </row>
    <row r="17" spans="1:3" x14ac:dyDescent="0.2">
      <c r="A17" s="2"/>
      <c r="B17" s="2"/>
      <c r="C17" s="2" t="s">
        <v>106</v>
      </c>
    </row>
    <row r="18" spans="1:3" x14ac:dyDescent="0.2">
      <c r="A18" s="2"/>
      <c r="B18" s="2"/>
      <c r="C18" s="2" t="s">
        <v>108</v>
      </c>
    </row>
    <row r="19" spans="1:3" x14ac:dyDescent="0.2">
      <c r="A19" s="2"/>
      <c r="B19" s="2"/>
      <c r="C19" s="2" t="s">
        <v>109</v>
      </c>
    </row>
    <row r="20" spans="1:3" x14ac:dyDescent="0.2">
      <c r="A20" s="2"/>
      <c r="B20" s="2"/>
      <c r="C20" s="2" t="s">
        <v>110</v>
      </c>
    </row>
    <row r="21" spans="1:3" x14ac:dyDescent="0.2">
      <c r="A21" s="2"/>
      <c r="B21" s="2"/>
      <c r="C21" s="2"/>
    </row>
    <row r="22" spans="1:3" x14ac:dyDescent="0.2">
      <c r="A22" s="2"/>
      <c r="B22" s="2" t="s">
        <v>111</v>
      </c>
      <c r="C22" s="2" t="s">
        <v>112</v>
      </c>
    </row>
    <row r="23" spans="1:3" x14ac:dyDescent="0.2">
      <c r="A23" s="2"/>
      <c r="B23" s="2"/>
      <c r="C23" s="2"/>
    </row>
    <row r="24" spans="1:3" x14ac:dyDescent="0.2">
      <c r="A24" s="2"/>
      <c r="B24" s="2" t="s">
        <v>123</v>
      </c>
      <c r="C24" s="2" t="s">
        <v>395</v>
      </c>
    </row>
    <row r="25" spans="1:3" x14ac:dyDescent="0.2">
      <c r="A25" s="2"/>
      <c r="B25" s="2"/>
      <c r="C25" s="2" t="s">
        <v>396</v>
      </c>
    </row>
    <row r="26" spans="1:3" x14ac:dyDescent="0.2">
      <c r="A26" s="2"/>
      <c r="B26" s="2"/>
      <c r="C26" s="2" t="s">
        <v>397</v>
      </c>
    </row>
    <row r="27" spans="1:3" x14ac:dyDescent="0.2">
      <c r="A27" s="2"/>
      <c r="B27" s="2"/>
      <c r="C27" s="2"/>
    </row>
    <row r="28" spans="1:3" x14ac:dyDescent="0.2">
      <c r="A28" s="2"/>
      <c r="B28" s="2" t="s">
        <v>407</v>
      </c>
      <c r="C28" s="2" t="s">
        <v>408</v>
      </c>
    </row>
    <row r="29" spans="1:3" x14ac:dyDescent="0.2">
      <c r="A29" s="2"/>
      <c r="B29" s="2"/>
      <c r="C29" s="2" t="s">
        <v>410</v>
      </c>
    </row>
    <row r="30" spans="1:3" x14ac:dyDescent="0.2">
      <c r="A30" s="2"/>
      <c r="B30" s="2"/>
      <c r="C30" s="2" t="s">
        <v>411</v>
      </c>
    </row>
    <row r="31" spans="1:3" x14ac:dyDescent="0.2">
      <c r="A31" s="2"/>
      <c r="B31" s="2"/>
      <c r="C31" s="2" t="s">
        <v>468</v>
      </c>
    </row>
    <row r="32" spans="1:3" x14ac:dyDescent="0.2">
      <c r="A32" s="2"/>
      <c r="B32" s="2"/>
      <c r="C32" s="2" t="s">
        <v>469</v>
      </c>
    </row>
    <row r="33" spans="1:3" x14ac:dyDescent="0.2">
      <c r="A33" s="2"/>
      <c r="B33" s="2"/>
      <c r="C33" s="2" t="s">
        <v>470</v>
      </c>
    </row>
    <row r="34" spans="1:3" x14ac:dyDescent="0.2">
      <c r="A34" s="2"/>
      <c r="B34" s="2"/>
      <c r="C34" s="2" t="s">
        <v>471</v>
      </c>
    </row>
    <row r="35" spans="1:3" x14ac:dyDescent="0.2">
      <c r="A35" s="2"/>
      <c r="B35" s="2"/>
      <c r="C35" s="2" t="s">
        <v>472</v>
      </c>
    </row>
    <row r="36" spans="1:3" x14ac:dyDescent="0.2">
      <c r="A36" s="2"/>
      <c r="B36" s="2"/>
      <c r="C36" s="2" t="s">
        <v>473</v>
      </c>
    </row>
    <row r="37" spans="1:3" x14ac:dyDescent="0.2">
      <c r="A37" s="2"/>
      <c r="B37" s="2"/>
      <c r="C37" s="2"/>
    </row>
    <row r="38" spans="1:3" x14ac:dyDescent="0.2">
      <c r="A38" s="2"/>
      <c r="B38" s="2" t="s">
        <v>474</v>
      </c>
      <c r="C38" s="2" t="s">
        <v>476</v>
      </c>
    </row>
    <row r="39" spans="1:3" x14ac:dyDescent="0.2">
      <c r="A39" s="2"/>
      <c r="B39" s="2"/>
      <c r="C39" s="2" t="s">
        <v>477</v>
      </c>
    </row>
    <row r="40" spans="1:3" x14ac:dyDescent="0.2">
      <c r="A40" s="2"/>
      <c r="B40" s="2"/>
      <c r="C40" s="2" t="s">
        <v>478</v>
      </c>
    </row>
    <row r="41" spans="1:3" x14ac:dyDescent="0.2">
      <c r="A41" s="2"/>
      <c r="B41" s="2"/>
      <c r="C41" s="2" t="s">
        <v>480</v>
      </c>
    </row>
    <row r="42" spans="1:3" x14ac:dyDescent="0.2">
      <c r="A42" s="2"/>
      <c r="B42" s="2"/>
      <c r="C42" s="2" t="s">
        <v>481</v>
      </c>
    </row>
    <row r="43" spans="1:3" x14ac:dyDescent="0.2">
      <c r="A43" s="2"/>
      <c r="B43" s="2"/>
      <c r="C43" s="2" t="s">
        <v>495</v>
      </c>
    </row>
    <row r="44" spans="1:3" x14ac:dyDescent="0.2">
      <c r="A44" s="2"/>
      <c r="B44" s="2"/>
      <c r="C44" s="2"/>
    </row>
    <row r="45" spans="1:3" x14ac:dyDescent="0.2">
      <c r="A45" s="2"/>
      <c r="B45" s="2" t="s">
        <v>498</v>
      </c>
      <c r="C45" s="2" t="s">
        <v>499</v>
      </c>
    </row>
    <row r="46" spans="1:3" x14ac:dyDescent="0.2">
      <c r="A46" s="2"/>
      <c r="B46" s="2"/>
      <c r="C46" s="2" t="s">
        <v>501</v>
      </c>
    </row>
    <row r="47" spans="1:3" x14ac:dyDescent="0.2">
      <c r="A47" s="2"/>
      <c r="B47" s="2"/>
      <c r="C47" s="2" t="s">
        <v>512</v>
      </c>
    </row>
    <row r="48" spans="1:3" x14ac:dyDescent="0.2">
      <c r="A48" s="2"/>
      <c r="B48" s="2"/>
      <c r="C48" s="2" t="s">
        <v>513</v>
      </c>
    </row>
    <row r="49" spans="1:3" x14ac:dyDescent="0.2">
      <c r="A49" s="2"/>
      <c r="B49" s="2"/>
      <c r="C49" s="2" t="s">
        <v>518</v>
      </c>
    </row>
    <row r="50" spans="1:3" x14ac:dyDescent="0.2">
      <c r="A50" s="2"/>
      <c r="B50" s="2"/>
      <c r="C50" s="2" t="s">
        <v>520</v>
      </c>
    </row>
    <row r="51" spans="1:3" x14ac:dyDescent="0.2">
      <c r="A51" s="2"/>
      <c r="B51" s="2"/>
      <c r="C51" s="2" t="s">
        <v>521</v>
      </c>
    </row>
    <row r="52" spans="1:3" x14ac:dyDescent="0.2">
      <c r="A52" s="2"/>
      <c r="B52" s="2"/>
      <c r="C52" s="2"/>
    </row>
    <row r="53" spans="1:3" x14ac:dyDescent="0.2">
      <c r="A53" s="2"/>
      <c r="B53" s="2" t="s">
        <v>524</v>
      </c>
      <c r="C53" s="2" t="s">
        <v>528</v>
      </c>
    </row>
    <row r="54" spans="1:3" x14ac:dyDescent="0.2">
      <c r="A54" s="2"/>
      <c r="B54" s="2"/>
      <c r="C54" s="2" t="s">
        <v>527</v>
      </c>
    </row>
    <row r="55" spans="1:3" x14ac:dyDescent="0.2">
      <c r="A55" s="2"/>
      <c r="B55" s="2"/>
      <c r="C55" s="2" t="s">
        <v>529</v>
      </c>
    </row>
    <row r="56" spans="1:3" x14ac:dyDescent="0.2">
      <c r="A56" s="2"/>
      <c r="B56" s="2"/>
      <c r="C56" s="2" t="s">
        <v>530</v>
      </c>
    </row>
    <row r="57" spans="1:3" x14ac:dyDescent="0.2">
      <c r="A57" s="2"/>
      <c r="B57" s="2"/>
      <c r="C57" s="2" t="s">
        <v>531</v>
      </c>
    </row>
    <row r="58" spans="1:3" x14ac:dyDescent="0.2">
      <c r="A58" s="2"/>
      <c r="B58" s="2"/>
      <c r="C58" s="2"/>
    </row>
    <row r="59" spans="1:3" x14ac:dyDescent="0.2">
      <c r="A59" s="2"/>
      <c r="B59" s="2" t="s">
        <v>532</v>
      </c>
      <c r="C59" s="2" t="s">
        <v>533</v>
      </c>
    </row>
    <row r="60" spans="1:3" x14ac:dyDescent="0.2">
      <c r="A60" s="2"/>
      <c r="B60" s="2"/>
      <c r="C60" s="2" t="s">
        <v>538</v>
      </c>
    </row>
    <row r="61" spans="1:3" x14ac:dyDescent="0.2">
      <c r="A61" s="2"/>
      <c r="B61" s="2"/>
      <c r="C61" s="2" t="s">
        <v>542</v>
      </c>
    </row>
    <row r="62" spans="1:3" x14ac:dyDescent="0.2">
      <c r="A62" s="2"/>
      <c r="B62" s="2"/>
      <c r="C62" s="2" t="s">
        <v>543</v>
      </c>
    </row>
    <row r="63" spans="1:3" x14ac:dyDescent="0.2">
      <c r="A63" s="2"/>
      <c r="B63" s="2"/>
      <c r="C63" s="2" t="s">
        <v>544</v>
      </c>
    </row>
    <row r="64" spans="1:3" x14ac:dyDescent="0.2">
      <c r="A64" s="2"/>
      <c r="B64" s="2"/>
      <c r="C64" s="2" t="s">
        <v>545</v>
      </c>
    </row>
    <row r="65" spans="1:3" x14ac:dyDescent="0.2">
      <c r="A65" s="2"/>
      <c r="B65" s="2"/>
      <c r="C65" s="2"/>
    </row>
    <row r="66" spans="1:3" x14ac:dyDescent="0.2">
      <c r="A66" s="2"/>
      <c r="B66" s="2" t="s">
        <v>547</v>
      </c>
      <c r="C66" s="2" t="s">
        <v>548</v>
      </c>
    </row>
    <row r="67" spans="1:3" x14ac:dyDescent="0.2">
      <c r="A67" s="2"/>
      <c r="B67" s="2"/>
      <c r="C67" s="2" t="s">
        <v>549</v>
      </c>
    </row>
    <row r="68" spans="1:3" x14ac:dyDescent="0.2">
      <c r="A68" s="2"/>
      <c r="B68" s="2"/>
      <c r="C68" s="2" t="s">
        <v>550</v>
      </c>
    </row>
    <row r="69" spans="1:3" x14ac:dyDescent="0.2">
      <c r="A69" s="2"/>
      <c r="B69" s="2"/>
      <c r="C69" s="2" t="s">
        <v>551</v>
      </c>
    </row>
    <row r="70" spans="1:3" x14ac:dyDescent="0.2">
      <c r="A70" s="2"/>
      <c r="B70" s="2"/>
      <c r="C70" s="2"/>
    </row>
    <row r="71" spans="1:3" x14ac:dyDescent="0.2">
      <c r="A71" s="2"/>
      <c r="B71" s="2" t="s">
        <v>552</v>
      </c>
      <c r="C71" s="2" t="s">
        <v>553</v>
      </c>
    </row>
    <row r="72" spans="1:3" x14ac:dyDescent="0.2">
      <c r="A72" s="2"/>
      <c r="B72" s="2"/>
      <c r="C72" s="2" t="s">
        <v>554</v>
      </c>
    </row>
    <row r="73" spans="1:3" x14ac:dyDescent="0.2">
      <c r="A73" s="2"/>
      <c r="B73" s="2"/>
      <c r="C73" s="2" t="s">
        <v>555</v>
      </c>
    </row>
    <row r="74" spans="1:3" x14ac:dyDescent="0.2">
      <c r="A74" s="2"/>
      <c r="B74" s="2"/>
      <c r="C74" s="2"/>
    </row>
    <row r="75" spans="1:3" x14ac:dyDescent="0.2">
      <c r="A75" s="2"/>
      <c r="B75" s="2" t="s">
        <v>560</v>
      </c>
      <c r="C75" s="2" t="s">
        <v>561</v>
      </c>
    </row>
    <row r="76" spans="1:3" x14ac:dyDescent="0.2">
      <c r="A76" s="2"/>
      <c r="B76" s="2"/>
      <c r="C76" s="2" t="s">
        <v>565</v>
      </c>
    </row>
    <row r="77" spans="1:3" x14ac:dyDescent="0.2">
      <c r="A77" s="2"/>
      <c r="B77" s="2"/>
      <c r="C77" s="2" t="s">
        <v>573</v>
      </c>
    </row>
    <row r="78" spans="1:3" x14ac:dyDescent="0.2">
      <c r="A78" s="2"/>
      <c r="B78" s="2"/>
      <c r="C78" s="2" t="s">
        <v>574</v>
      </c>
    </row>
    <row r="79" spans="1:3" x14ac:dyDescent="0.2">
      <c r="A79" s="2"/>
      <c r="B79" s="2"/>
      <c r="C79" s="2" t="s">
        <v>575</v>
      </c>
    </row>
    <row r="80" spans="1:3" x14ac:dyDescent="0.2">
      <c r="A80" s="2"/>
      <c r="B80" s="2"/>
      <c r="C80" s="2" t="s">
        <v>576</v>
      </c>
    </row>
    <row r="81" spans="1:3" x14ac:dyDescent="0.2">
      <c r="A81" s="2"/>
      <c r="B81" s="2"/>
      <c r="C81" s="2" t="s">
        <v>577</v>
      </c>
    </row>
    <row r="82" spans="1:3" x14ac:dyDescent="0.2">
      <c r="A82" s="2"/>
      <c r="B82" s="2"/>
      <c r="C82" s="2" t="s">
        <v>585</v>
      </c>
    </row>
    <row r="83" spans="1:3" x14ac:dyDescent="0.2">
      <c r="A83" s="2"/>
      <c r="B83" s="2"/>
      <c r="C83" s="2" t="s">
        <v>586</v>
      </c>
    </row>
    <row r="84" spans="1:3" x14ac:dyDescent="0.2">
      <c r="A84" s="2"/>
      <c r="B84" s="2"/>
      <c r="C84" s="2"/>
    </row>
    <row r="85" spans="1:3" x14ac:dyDescent="0.2">
      <c r="A85" s="2"/>
      <c r="B85" s="2" t="s">
        <v>587</v>
      </c>
      <c r="C85" s="2" t="s">
        <v>588</v>
      </c>
    </row>
    <row r="86" spans="1:3" x14ac:dyDescent="0.2">
      <c r="A86" s="2"/>
      <c r="B86" s="2"/>
      <c r="C86" s="2"/>
    </row>
    <row r="87" spans="1:3" x14ac:dyDescent="0.2">
      <c r="A87" s="2"/>
      <c r="B87" s="2" t="s">
        <v>589</v>
      </c>
      <c r="C87" s="2" t="s">
        <v>590</v>
      </c>
    </row>
    <row r="88" spans="1:3" x14ac:dyDescent="0.2">
      <c r="A88" s="2"/>
      <c r="B88" s="2"/>
      <c r="C88" s="2" t="s">
        <v>591</v>
      </c>
    </row>
    <row r="89" spans="1:3" x14ac:dyDescent="0.2">
      <c r="A89" s="2"/>
      <c r="B89" s="2"/>
      <c r="C89" s="2"/>
    </row>
    <row r="90" spans="1:3" x14ac:dyDescent="0.2">
      <c r="A90" s="2"/>
      <c r="B90" s="2" t="s">
        <v>592</v>
      </c>
      <c r="C90" s="2" t="s">
        <v>593</v>
      </c>
    </row>
    <row r="91" spans="1:3" x14ac:dyDescent="0.2">
      <c r="A91" s="2"/>
      <c r="B91" s="2"/>
      <c r="C91" s="2" t="s">
        <v>594</v>
      </c>
    </row>
    <row r="92" spans="1:3" x14ac:dyDescent="0.2">
      <c r="A92" s="2"/>
      <c r="B92" s="2"/>
      <c r="C92" s="2" t="s">
        <v>595</v>
      </c>
    </row>
    <row r="93" spans="1:3" x14ac:dyDescent="0.2">
      <c r="A93" s="2"/>
      <c r="B93" s="2"/>
      <c r="C93" s="2" t="s">
        <v>596</v>
      </c>
    </row>
    <row r="94" spans="1:3" x14ac:dyDescent="0.2">
      <c r="A94" s="2"/>
      <c r="B94" s="2"/>
      <c r="C94" s="2" t="s">
        <v>597</v>
      </c>
    </row>
    <row r="95" spans="1:3" x14ac:dyDescent="0.2">
      <c r="A95" s="2"/>
      <c r="B95" s="2"/>
      <c r="C95" s="2"/>
    </row>
    <row r="96" spans="1:3" x14ac:dyDescent="0.2">
      <c r="A96" s="2"/>
      <c r="B96" s="2" t="s">
        <v>598</v>
      </c>
      <c r="C96" s="2" t="s">
        <v>599</v>
      </c>
    </row>
    <row r="97" spans="1:3" x14ac:dyDescent="0.2">
      <c r="A97" s="2"/>
      <c r="B97" s="2"/>
      <c r="C97" s="2" t="s">
        <v>601</v>
      </c>
    </row>
    <row r="98" spans="1:3" x14ac:dyDescent="0.2">
      <c r="A98" s="2"/>
      <c r="B98" s="2"/>
      <c r="C98" s="2" t="s">
        <v>602</v>
      </c>
    </row>
    <row r="99" spans="1:3" x14ac:dyDescent="0.2">
      <c r="A99" s="2"/>
      <c r="B99" s="2"/>
      <c r="C99" s="2" t="s">
        <v>603</v>
      </c>
    </row>
    <row r="100" spans="1:3" x14ac:dyDescent="0.2">
      <c r="A100" s="2"/>
      <c r="B100" s="2"/>
      <c r="C100" s="2" t="s">
        <v>607</v>
      </c>
    </row>
    <row r="101" spans="1:3" x14ac:dyDescent="0.2">
      <c r="A101" s="2"/>
      <c r="B101" s="2"/>
      <c r="C101" s="2" t="s">
        <v>608</v>
      </c>
    </row>
    <row r="102" spans="1:3" x14ac:dyDescent="0.2">
      <c r="A102" s="2"/>
      <c r="B102" s="2"/>
      <c r="C102" s="2" t="s">
        <v>611</v>
      </c>
    </row>
    <row r="103" spans="1:3" x14ac:dyDescent="0.2">
      <c r="A103" s="2"/>
      <c r="B103" s="2"/>
      <c r="C103" s="2" t="s">
        <v>612</v>
      </c>
    </row>
    <row r="104" spans="1:3" x14ac:dyDescent="0.2">
      <c r="A104" s="2"/>
      <c r="B104" s="2"/>
      <c r="C104" s="2"/>
    </row>
    <row r="105" spans="1:3" x14ac:dyDescent="0.2">
      <c r="A105" s="2"/>
      <c r="B105" s="2" t="s">
        <v>613</v>
      </c>
      <c r="C105" s="2" t="s">
        <v>614</v>
      </c>
    </row>
    <row r="106" spans="1:3" x14ac:dyDescent="0.2">
      <c r="A106" s="2"/>
      <c r="B106" s="2"/>
      <c r="C106" s="2" t="s">
        <v>615</v>
      </c>
    </row>
    <row r="107" spans="1:3" x14ac:dyDescent="0.2">
      <c r="A107" s="2"/>
      <c r="B107" s="2"/>
      <c r="C107" s="2" t="s">
        <v>617</v>
      </c>
    </row>
    <row r="108" spans="1:3" x14ac:dyDescent="0.2">
      <c r="A108" s="2"/>
      <c r="B108" s="2"/>
      <c r="C108" s="2" t="s">
        <v>618</v>
      </c>
    </row>
    <row r="109" spans="1:3" x14ac:dyDescent="0.2">
      <c r="A109" s="2"/>
      <c r="B109" s="2"/>
      <c r="C109" s="2" t="s">
        <v>619</v>
      </c>
    </row>
    <row r="110" spans="1:3" x14ac:dyDescent="0.2">
      <c r="A110" s="2"/>
      <c r="B110" s="2"/>
      <c r="C110" s="2" t="s">
        <v>620</v>
      </c>
    </row>
    <row r="111" spans="1:3" x14ac:dyDescent="0.2">
      <c r="A111" s="2"/>
      <c r="B111" s="2"/>
      <c r="C111" s="2"/>
    </row>
    <row r="112" spans="1:3" x14ac:dyDescent="0.2">
      <c r="A112" s="2"/>
      <c r="B112" s="2" t="s">
        <v>622</v>
      </c>
      <c r="C112" s="2" t="s">
        <v>623</v>
      </c>
    </row>
    <row r="113" spans="1:3" x14ac:dyDescent="0.2">
      <c r="A113" s="2"/>
      <c r="B113" s="2"/>
      <c r="C113" s="2" t="s">
        <v>624</v>
      </c>
    </row>
    <row r="114" spans="1:3" x14ac:dyDescent="0.2">
      <c r="A114" s="2"/>
      <c r="B114" s="2"/>
      <c r="C114" s="2" t="s">
        <v>625</v>
      </c>
    </row>
    <row r="115" spans="1:3" x14ac:dyDescent="0.2">
      <c r="A115" s="2"/>
      <c r="B115" s="2"/>
      <c r="C115" s="2" t="s">
        <v>626</v>
      </c>
    </row>
    <row r="116" spans="1:3" x14ac:dyDescent="0.2">
      <c r="A116" s="2"/>
      <c r="B116" s="2"/>
      <c r="C116" s="2" t="s">
        <v>627</v>
      </c>
    </row>
    <row r="117" spans="1:3" x14ac:dyDescent="0.2">
      <c r="A117" s="2"/>
      <c r="B117" s="2"/>
      <c r="C117" s="2"/>
    </row>
    <row r="118" spans="1:3" x14ac:dyDescent="0.2">
      <c r="A118" s="2"/>
      <c r="B118" s="2" t="s">
        <v>628</v>
      </c>
      <c r="C118" s="2" t="s">
        <v>629</v>
      </c>
    </row>
    <row r="119" spans="1:3" x14ac:dyDescent="0.2">
      <c r="A119" s="2"/>
      <c r="B119" s="2"/>
      <c r="C119" s="2" t="s">
        <v>636</v>
      </c>
    </row>
    <row r="120" spans="1:3" x14ac:dyDescent="0.2">
      <c r="A120" s="2"/>
      <c r="B120" s="2"/>
      <c r="C120" s="2" t="s">
        <v>644</v>
      </c>
    </row>
    <row r="121" spans="1:3" x14ac:dyDescent="0.2">
      <c r="A121" s="2"/>
      <c r="B121" s="2"/>
      <c r="C121" s="2" t="s">
        <v>630</v>
      </c>
    </row>
    <row r="122" spans="1:3" x14ac:dyDescent="0.2">
      <c r="A122" s="2"/>
      <c r="B122" s="2"/>
      <c r="C122" s="2" t="s">
        <v>631</v>
      </c>
    </row>
    <row r="123" spans="1:3" x14ac:dyDescent="0.2">
      <c r="A123" s="2"/>
      <c r="B123" s="2"/>
      <c r="C123" s="2" t="s">
        <v>637</v>
      </c>
    </row>
    <row r="124" spans="1:3" x14ac:dyDescent="0.2">
      <c r="A124" s="2"/>
      <c r="B124" s="2"/>
      <c r="C124" s="2" t="s">
        <v>638</v>
      </c>
    </row>
    <row r="125" spans="1:3" x14ac:dyDescent="0.2">
      <c r="A125" s="2"/>
      <c r="B125" s="2"/>
      <c r="C125" s="2" t="s">
        <v>639</v>
      </c>
    </row>
    <row r="126" spans="1:3" x14ac:dyDescent="0.2">
      <c r="A126" s="2"/>
      <c r="B126" s="2"/>
      <c r="C126" s="2" t="s">
        <v>640</v>
      </c>
    </row>
    <row r="127" spans="1:3" x14ac:dyDescent="0.2">
      <c r="A127" s="2"/>
      <c r="B127" s="2"/>
      <c r="C127" s="2" t="s">
        <v>641</v>
      </c>
    </row>
    <row r="128" spans="1:3" x14ac:dyDescent="0.2">
      <c r="A128" s="2"/>
      <c r="B128" s="2"/>
      <c r="C128" s="2" t="s">
        <v>642</v>
      </c>
    </row>
    <row r="129" spans="1:3" x14ac:dyDescent="0.2">
      <c r="A129" s="2"/>
      <c r="B129" s="2"/>
      <c r="C129" s="2"/>
    </row>
    <row r="130" spans="1:3" x14ac:dyDescent="0.2">
      <c r="A130" s="9" t="s">
        <v>849</v>
      </c>
      <c r="B130" s="14" t="s">
        <v>856</v>
      </c>
      <c r="C130" s="2" t="s">
        <v>850</v>
      </c>
    </row>
    <row r="131" spans="1:3" x14ac:dyDescent="0.2">
      <c r="A131" s="2"/>
      <c r="B131" s="2"/>
      <c r="C131" s="2" t="s">
        <v>647</v>
      </c>
    </row>
    <row r="132" spans="1:3" x14ac:dyDescent="0.2">
      <c r="A132" s="2"/>
      <c r="B132" s="2"/>
      <c r="C132" s="2" t="s">
        <v>650</v>
      </c>
    </row>
    <row r="133" spans="1:3" x14ac:dyDescent="0.2">
      <c r="A133" s="2"/>
      <c r="B133" s="2"/>
      <c r="C133" s="2" t="s">
        <v>648</v>
      </c>
    </row>
    <row r="134" spans="1:3" x14ac:dyDescent="0.2">
      <c r="A134" s="2"/>
      <c r="B134" s="2"/>
      <c r="C134" s="2" t="s">
        <v>649</v>
      </c>
    </row>
    <row r="135" spans="1:3" x14ac:dyDescent="0.2">
      <c r="A135" s="2"/>
      <c r="B135" s="2"/>
      <c r="C135" s="2"/>
    </row>
    <row r="136" spans="1:3" x14ac:dyDescent="0.2">
      <c r="A136" s="9" t="s">
        <v>852</v>
      </c>
      <c r="B136" s="14" t="s">
        <v>856</v>
      </c>
      <c r="C136" s="14" t="s">
        <v>851</v>
      </c>
    </row>
    <row r="137" spans="1:3" x14ac:dyDescent="0.2">
      <c r="A137" s="2"/>
      <c r="B137" s="2"/>
      <c r="C137" s="2" t="s">
        <v>652</v>
      </c>
    </row>
    <row r="138" spans="1:3" x14ac:dyDescent="0.2">
      <c r="A138" s="2"/>
      <c r="B138" s="2"/>
      <c r="C138" s="2" t="s">
        <v>653</v>
      </c>
    </row>
    <row r="139" spans="1:3" x14ac:dyDescent="0.2">
      <c r="A139" s="2"/>
      <c r="B139" s="2"/>
      <c r="C139" s="2"/>
    </row>
    <row r="140" spans="1:3" x14ac:dyDescent="0.2">
      <c r="A140" s="9" t="s">
        <v>853</v>
      </c>
      <c r="B140" s="14" t="s">
        <v>854</v>
      </c>
      <c r="C140" s="2" t="s">
        <v>671</v>
      </c>
    </row>
    <row r="141" spans="1:3" x14ac:dyDescent="0.2">
      <c r="A141" s="2"/>
      <c r="B141" s="2"/>
      <c r="C141" s="2" t="s">
        <v>670</v>
      </c>
    </row>
    <row r="142" spans="1:3" x14ac:dyDescent="0.2">
      <c r="A142" s="2"/>
      <c r="B142" s="2"/>
      <c r="C142" s="2" t="s">
        <v>666</v>
      </c>
    </row>
    <row r="143" spans="1:3" x14ac:dyDescent="0.2">
      <c r="A143" s="2"/>
      <c r="B143" s="2"/>
      <c r="C143" s="2" t="s">
        <v>667</v>
      </c>
    </row>
    <row r="144" spans="1:3" x14ac:dyDescent="0.2">
      <c r="A144" s="2"/>
      <c r="B144" s="9"/>
      <c r="C144" s="2" t="s">
        <v>662</v>
      </c>
    </row>
    <row r="145" spans="1:3" x14ac:dyDescent="0.2">
      <c r="A145" s="2"/>
      <c r="B145" s="2"/>
      <c r="C145" s="2" t="s">
        <v>663</v>
      </c>
    </row>
    <row r="146" spans="1:3" x14ac:dyDescent="0.2">
      <c r="A146" s="2"/>
      <c r="B146" s="2"/>
      <c r="C146" s="2" t="s">
        <v>668</v>
      </c>
    </row>
    <row r="147" spans="1:3" x14ac:dyDescent="0.2">
      <c r="A147" s="2"/>
      <c r="B147" s="2"/>
      <c r="C147" s="2" t="s">
        <v>665</v>
      </c>
    </row>
    <row r="148" spans="1:3" x14ac:dyDescent="0.2">
      <c r="A148" s="2"/>
      <c r="B148" s="2"/>
      <c r="C148" s="2" t="s">
        <v>674</v>
      </c>
    </row>
    <row r="149" spans="1:3" x14ac:dyDescent="0.2">
      <c r="A149" s="2"/>
      <c r="B149" s="2"/>
      <c r="C149" s="2" t="s">
        <v>669</v>
      </c>
    </row>
    <row r="150" spans="1:3" x14ac:dyDescent="0.2">
      <c r="A150" s="2"/>
      <c r="B150" s="2"/>
      <c r="C150" s="2" t="s">
        <v>672</v>
      </c>
    </row>
    <row r="151" spans="1:3" x14ac:dyDescent="0.2">
      <c r="A151" s="2"/>
      <c r="B151" s="2"/>
      <c r="C151" s="2" t="s">
        <v>673</v>
      </c>
    </row>
    <row r="152" spans="1:3" x14ac:dyDescent="0.2">
      <c r="A152" s="2"/>
      <c r="B152" s="2"/>
      <c r="C152" s="2"/>
    </row>
    <row r="153" spans="1:3" x14ac:dyDescent="0.2">
      <c r="A153" s="2"/>
      <c r="B153" s="2" t="s">
        <v>855</v>
      </c>
      <c r="C153" s="2" t="s">
        <v>675</v>
      </c>
    </row>
    <row r="154" spans="1:3" x14ac:dyDescent="0.2">
      <c r="A154" s="2"/>
      <c r="B154" s="2"/>
      <c r="C154" s="2" t="s">
        <v>676</v>
      </c>
    </row>
    <row r="155" spans="1:3" x14ac:dyDescent="0.2">
      <c r="A155" s="2"/>
      <c r="B155" s="2"/>
      <c r="C155" s="2"/>
    </row>
    <row r="156" spans="1:3" x14ac:dyDescent="0.2">
      <c r="A156" s="9" t="s">
        <v>857</v>
      </c>
      <c r="B156" s="9"/>
      <c r="C156" s="2"/>
    </row>
    <row r="157" spans="1:3" x14ac:dyDescent="0.2">
      <c r="A157" s="10">
        <v>42804</v>
      </c>
      <c r="B157" s="14" t="s">
        <v>846</v>
      </c>
      <c r="C157" s="2" t="s">
        <v>705</v>
      </c>
    </row>
    <row r="158" spans="1:3" x14ac:dyDescent="0.2">
      <c r="A158" s="2"/>
      <c r="B158" s="2"/>
      <c r="C158" s="2" t="s">
        <v>701</v>
      </c>
    </row>
    <row r="159" spans="1:3" x14ac:dyDescent="0.2">
      <c r="A159" s="2"/>
      <c r="B159" s="2"/>
      <c r="C159" s="2" t="s">
        <v>702</v>
      </c>
    </row>
    <row r="160" spans="1:3" x14ac:dyDescent="0.2">
      <c r="A160" s="2"/>
      <c r="B160" s="2"/>
      <c r="C160" s="2" t="s">
        <v>703</v>
      </c>
    </row>
    <row r="161" spans="1:3" x14ac:dyDescent="0.2">
      <c r="A161" s="2"/>
      <c r="B161" s="2"/>
      <c r="C161" s="2" t="s">
        <v>704</v>
      </c>
    </row>
    <row r="162" spans="1:3" x14ac:dyDescent="0.2">
      <c r="A162" s="2"/>
      <c r="B162" s="2"/>
      <c r="C162" s="2"/>
    </row>
    <row r="163" spans="1:3" x14ac:dyDescent="0.2">
      <c r="A163" s="10">
        <v>42818</v>
      </c>
      <c r="B163" s="2" t="s">
        <v>690</v>
      </c>
      <c r="C163" s="2" t="s">
        <v>691</v>
      </c>
    </row>
    <row r="164" spans="1:3" x14ac:dyDescent="0.2">
      <c r="A164" s="2"/>
      <c r="B164" s="2"/>
      <c r="C164" s="2" t="s">
        <v>706</v>
      </c>
    </row>
    <row r="165" spans="1:3" x14ac:dyDescent="0.2">
      <c r="A165" s="2"/>
      <c r="B165" s="2"/>
      <c r="C165" s="2" t="s">
        <v>707</v>
      </c>
    </row>
    <row r="166" spans="1:3" x14ac:dyDescent="0.2">
      <c r="A166" s="2"/>
      <c r="B166" s="2"/>
      <c r="C166" s="2" t="s">
        <v>708</v>
      </c>
    </row>
    <row r="167" spans="1:3" x14ac:dyDescent="0.2">
      <c r="A167" s="2"/>
      <c r="B167" s="2"/>
      <c r="C167" s="2"/>
    </row>
    <row r="168" spans="1:3" x14ac:dyDescent="0.2">
      <c r="A168" s="10">
        <v>42822</v>
      </c>
      <c r="B168" s="2" t="s">
        <v>693</v>
      </c>
      <c r="C168" s="2" t="s">
        <v>709</v>
      </c>
    </row>
    <row r="169" spans="1:3" x14ac:dyDescent="0.2">
      <c r="A169" s="2"/>
      <c r="B169" s="2"/>
      <c r="C169" s="2" t="s">
        <v>710</v>
      </c>
    </row>
    <row r="170" spans="1:3" x14ac:dyDescent="0.2">
      <c r="A170" s="2"/>
      <c r="B170" s="2"/>
      <c r="C170" s="2"/>
    </row>
    <row r="171" spans="1:3" x14ac:dyDescent="0.2">
      <c r="A171" s="10">
        <v>42840</v>
      </c>
      <c r="B171" s="2" t="s">
        <v>695</v>
      </c>
      <c r="C171" s="2" t="s">
        <v>699</v>
      </c>
    </row>
    <row r="172" spans="1:3" x14ac:dyDescent="0.2">
      <c r="A172" s="10"/>
      <c r="B172" s="2"/>
      <c r="C172" s="2" t="s">
        <v>700</v>
      </c>
    </row>
    <row r="173" spans="1:3" x14ac:dyDescent="0.2">
      <c r="A173" s="2"/>
      <c r="B173" s="2"/>
      <c r="C173" s="2" t="s">
        <v>698</v>
      </c>
    </row>
    <row r="174" spans="1:3" x14ac:dyDescent="0.2">
      <c r="A174" s="2"/>
      <c r="B174" s="2"/>
      <c r="C174" s="2" t="s">
        <v>711</v>
      </c>
    </row>
    <row r="175" spans="1:3" x14ac:dyDescent="0.2">
      <c r="A175" s="2"/>
      <c r="B175" s="2"/>
      <c r="C175" s="2"/>
    </row>
    <row r="176" spans="1:3" x14ac:dyDescent="0.2">
      <c r="A176" s="10">
        <v>42847</v>
      </c>
      <c r="B176" s="2" t="s">
        <v>737</v>
      </c>
      <c r="C176" s="2" t="s">
        <v>738</v>
      </c>
    </row>
    <row r="177" spans="1:3" x14ac:dyDescent="0.2">
      <c r="A177" s="2"/>
      <c r="B177" s="2"/>
      <c r="C177" s="2" t="s">
        <v>744</v>
      </c>
    </row>
    <row r="178" spans="1:3" x14ac:dyDescent="0.2">
      <c r="A178" s="2"/>
      <c r="B178" s="2"/>
      <c r="C178" s="2" t="s">
        <v>745</v>
      </c>
    </row>
    <row r="179" spans="1:3" x14ac:dyDescent="0.2">
      <c r="A179" s="2"/>
      <c r="B179" s="2"/>
      <c r="C179" s="2" t="s">
        <v>750</v>
      </c>
    </row>
    <row r="180" spans="1:3" x14ac:dyDescent="0.2">
      <c r="A180" s="2"/>
      <c r="B180" s="2"/>
      <c r="C180" s="2" t="s">
        <v>746</v>
      </c>
    </row>
    <row r="181" spans="1:3" x14ac:dyDescent="0.2">
      <c r="A181" s="2"/>
      <c r="B181" s="2"/>
      <c r="C181" s="2" t="s">
        <v>747</v>
      </c>
    </row>
    <row r="182" spans="1:3" x14ac:dyDescent="0.2">
      <c r="A182" s="2"/>
      <c r="B182" s="2"/>
      <c r="C182" s="2" t="s">
        <v>749</v>
      </c>
    </row>
    <row r="183" spans="1:3" x14ac:dyDescent="0.2">
      <c r="A183" s="2"/>
      <c r="B183" s="2"/>
      <c r="C183" s="2" t="s">
        <v>751</v>
      </c>
    </row>
    <row r="184" spans="1:3" x14ac:dyDescent="0.2">
      <c r="A184" s="2"/>
      <c r="B184" s="2"/>
      <c r="C184" s="2" t="s">
        <v>752</v>
      </c>
    </row>
    <row r="185" spans="1:3" x14ac:dyDescent="0.2">
      <c r="A185" s="2"/>
      <c r="B185" s="2"/>
      <c r="C185" s="2"/>
    </row>
    <row r="186" spans="1:3" x14ac:dyDescent="0.2">
      <c r="A186" s="10">
        <v>42937</v>
      </c>
      <c r="B186" s="2" t="s">
        <v>755</v>
      </c>
      <c r="C186" s="2" t="s">
        <v>756</v>
      </c>
    </row>
    <row r="187" spans="1:3" x14ac:dyDescent="0.2">
      <c r="A187" s="2"/>
      <c r="B187" s="2"/>
      <c r="C187" s="2"/>
    </row>
    <row r="188" spans="1:3" x14ac:dyDescent="0.2">
      <c r="A188" s="9" t="s">
        <v>859</v>
      </c>
      <c r="B188" s="9"/>
      <c r="C188" s="2"/>
    </row>
    <row r="189" spans="1:3" x14ac:dyDescent="0.2">
      <c r="A189" s="10">
        <v>42947</v>
      </c>
      <c r="B189" s="2" t="s">
        <v>860</v>
      </c>
      <c r="C189" s="2" t="s">
        <v>804</v>
      </c>
    </row>
    <row r="190" spans="1:3" x14ac:dyDescent="0.2">
      <c r="A190" s="2"/>
      <c r="B190" s="2"/>
      <c r="C190" s="2" t="s">
        <v>805</v>
      </c>
    </row>
    <row r="191" spans="1:3" x14ac:dyDescent="0.2">
      <c r="A191" s="2"/>
      <c r="B191" s="2"/>
      <c r="C191" s="2" t="s">
        <v>806</v>
      </c>
    </row>
    <row r="192" spans="1:3" x14ac:dyDescent="0.2">
      <c r="A192" s="2"/>
      <c r="B192" s="2"/>
      <c r="C192" s="2" t="s">
        <v>807</v>
      </c>
    </row>
    <row r="193" spans="1:3" x14ac:dyDescent="0.2">
      <c r="A193" s="2"/>
      <c r="B193" s="2"/>
      <c r="C193" s="2" t="s">
        <v>811</v>
      </c>
    </row>
    <row r="194" spans="1:3" x14ac:dyDescent="0.2">
      <c r="A194" s="2"/>
      <c r="B194" s="2"/>
      <c r="C194" s="2" t="s">
        <v>812</v>
      </c>
    </row>
    <row r="195" spans="1:3" x14ac:dyDescent="0.2">
      <c r="A195" s="2"/>
      <c r="B195" s="2"/>
      <c r="C195" s="2" t="s">
        <v>813</v>
      </c>
    </row>
    <row r="196" spans="1:3" x14ac:dyDescent="0.2">
      <c r="A196" s="2"/>
      <c r="B196" s="2"/>
      <c r="C196" s="2" t="s">
        <v>808</v>
      </c>
    </row>
    <row r="197" spans="1:3" x14ac:dyDescent="0.2">
      <c r="A197" s="2"/>
      <c r="B197" s="2"/>
      <c r="C197" s="2" t="s">
        <v>809</v>
      </c>
    </row>
    <row r="198" spans="1:3" x14ac:dyDescent="0.2">
      <c r="A198" s="2"/>
      <c r="B198" s="2"/>
      <c r="C198" s="2" t="s">
        <v>841</v>
      </c>
    </row>
    <row r="199" spans="1:3" x14ac:dyDescent="0.2">
      <c r="A199" s="2"/>
      <c r="B199" s="2"/>
      <c r="C199" s="2" t="s">
        <v>810</v>
      </c>
    </row>
    <row r="200" spans="1:3" x14ac:dyDescent="0.2">
      <c r="A200" s="2"/>
      <c r="B200" s="2"/>
      <c r="C200" s="2" t="s">
        <v>814</v>
      </c>
    </row>
    <row r="202" spans="1:3" x14ac:dyDescent="0.2">
      <c r="A202" s="10">
        <v>42948</v>
      </c>
      <c r="B202" s="2" t="s">
        <v>820</v>
      </c>
      <c r="C202" s="2" t="s">
        <v>821</v>
      </c>
    </row>
    <row r="203" spans="1:3" x14ac:dyDescent="0.2">
      <c r="A203" s="2"/>
      <c r="B203" s="2"/>
      <c r="C203" s="2" t="s">
        <v>822</v>
      </c>
    </row>
    <row r="204" spans="1:3" x14ac:dyDescent="0.2">
      <c r="A204" s="2"/>
      <c r="B204" s="2"/>
      <c r="C204" s="2" t="s">
        <v>823</v>
      </c>
    </row>
    <row r="205" spans="1:3" x14ac:dyDescent="0.2">
      <c r="A205" s="2"/>
      <c r="B205" s="2"/>
      <c r="C205" s="2" t="s">
        <v>824</v>
      </c>
    </row>
    <row r="206" spans="1:3" x14ac:dyDescent="0.2">
      <c r="A206" s="2"/>
      <c r="B206" s="2"/>
      <c r="C206" s="2" t="s">
        <v>825</v>
      </c>
    </row>
    <row r="207" spans="1:3" x14ac:dyDescent="0.2">
      <c r="A207" s="2"/>
      <c r="B207" s="2"/>
      <c r="C207" s="2" t="s">
        <v>827</v>
      </c>
    </row>
    <row r="209" spans="1:3" x14ac:dyDescent="0.2">
      <c r="A209" s="10">
        <v>42951</v>
      </c>
      <c r="B209" s="2" t="s">
        <v>828</v>
      </c>
      <c r="C209" s="2" t="s">
        <v>829</v>
      </c>
    </row>
    <row r="210" spans="1:3" x14ac:dyDescent="0.2">
      <c r="A210" s="2"/>
      <c r="B210" s="2"/>
      <c r="C210" s="2" t="s">
        <v>830</v>
      </c>
    </row>
    <row r="211" spans="1:3" x14ac:dyDescent="0.2">
      <c r="A211" s="2"/>
      <c r="B211" s="2"/>
      <c r="C211" s="2" t="s">
        <v>831</v>
      </c>
    </row>
    <row r="213" spans="1:3" x14ac:dyDescent="0.2">
      <c r="A213" s="10">
        <v>42954</v>
      </c>
      <c r="B213" s="2" t="s">
        <v>834</v>
      </c>
      <c r="C213" s="2" t="s">
        <v>838</v>
      </c>
    </row>
    <row r="214" spans="1:3" x14ac:dyDescent="0.2">
      <c r="A214" s="2"/>
      <c r="B214" s="2"/>
      <c r="C214" s="2" t="s">
        <v>839</v>
      </c>
    </row>
    <row r="215" spans="1:3" x14ac:dyDescent="0.2">
      <c r="A215" s="2"/>
      <c r="B215" s="2"/>
      <c r="C215" s="2" t="s">
        <v>840</v>
      </c>
    </row>
    <row r="216" spans="1:3" x14ac:dyDescent="0.2">
      <c r="A216" s="2"/>
      <c r="B216" s="2"/>
      <c r="C216" s="2" t="s">
        <v>842</v>
      </c>
    </row>
    <row r="217" spans="1:3" x14ac:dyDescent="0.2">
      <c r="A217" s="2"/>
      <c r="B217" s="2"/>
      <c r="C217" s="2" t="s">
        <v>843</v>
      </c>
    </row>
    <row r="218" spans="1:3" x14ac:dyDescent="0.2">
      <c r="A218" s="2"/>
      <c r="B218" s="2"/>
      <c r="C218" s="2" t="s">
        <v>844</v>
      </c>
    </row>
    <row r="219" spans="1:3" x14ac:dyDescent="0.2">
      <c r="A219" s="2"/>
      <c r="B219" s="2"/>
      <c r="C219" s="2" t="s">
        <v>845</v>
      </c>
    </row>
    <row r="220" spans="1:3" x14ac:dyDescent="0.2">
      <c r="A220" s="2"/>
      <c r="B220" s="2"/>
      <c r="C220" s="2" t="s">
        <v>861</v>
      </c>
    </row>
    <row r="221" spans="1:3" x14ac:dyDescent="0.2">
      <c r="C221" s="14" t="s">
        <v>869</v>
      </c>
    </row>
    <row r="222" spans="1:3" x14ac:dyDescent="0.2">
      <c r="C222" s="14" t="s">
        <v>865</v>
      </c>
    </row>
    <row r="223" spans="1:3" x14ac:dyDescent="0.2">
      <c r="A223" s="14"/>
      <c r="B223" s="14"/>
      <c r="C223" s="14" t="s">
        <v>867</v>
      </c>
    </row>
    <row r="224" spans="1:3" x14ac:dyDescent="0.2">
      <c r="A224" s="15">
        <v>42958</v>
      </c>
      <c r="B224" s="14" t="s">
        <v>872</v>
      </c>
      <c r="C224" s="14" t="s">
        <v>873</v>
      </c>
    </row>
    <row r="225" spans="1:3" x14ac:dyDescent="0.2">
      <c r="A225" s="14"/>
      <c r="B225" s="14"/>
      <c r="C225" s="14" t="s">
        <v>874</v>
      </c>
    </row>
    <row r="226" spans="1:3" x14ac:dyDescent="0.2">
      <c r="A226" s="14"/>
      <c r="B226" s="14"/>
      <c r="C226" s="14" t="s">
        <v>878</v>
      </c>
    </row>
    <row r="227" spans="1:3" x14ac:dyDescent="0.2">
      <c r="A227" s="14"/>
      <c r="B227" s="14"/>
      <c r="C227" s="14" t="s">
        <v>884</v>
      </c>
    </row>
    <row r="228" spans="1:3" x14ac:dyDescent="0.2">
      <c r="A228" s="14"/>
      <c r="B228" s="14"/>
      <c r="C228" s="14" t="s">
        <v>894</v>
      </c>
    </row>
    <row r="229" spans="1:3" x14ac:dyDescent="0.2">
      <c r="A229" s="14"/>
      <c r="B229" s="14"/>
      <c r="C229" s="14" t="s">
        <v>890</v>
      </c>
    </row>
    <row r="230" spans="1:3" x14ac:dyDescent="0.2">
      <c r="A230" s="15">
        <v>42960</v>
      </c>
      <c r="B230" s="14" t="s">
        <v>893</v>
      </c>
      <c r="C230" s="14" t="s">
        <v>896</v>
      </c>
    </row>
    <row r="231" spans="1:3" x14ac:dyDescent="0.2">
      <c r="A231" s="14"/>
      <c r="B231" s="14"/>
      <c r="C231" s="14" t="s">
        <v>895</v>
      </c>
    </row>
    <row r="232" spans="1:3" x14ac:dyDescent="0.2">
      <c r="A232" s="14"/>
      <c r="B232" s="14"/>
      <c r="C232" s="14" t="s">
        <v>897</v>
      </c>
    </row>
    <row r="233" spans="1:3" x14ac:dyDescent="0.2">
      <c r="A233" s="14"/>
      <c r="B233" s="14"/>
      <c r="C233" s="14" t="s">
        <v>899</v>
      </c>
    </row>
    <row r="234" spans="1:3" x14ac:dyDescent="0.2">
      <c r="A234" s="14"/>
      <c r="B234" s="14"/>
      <c r="C234" s="14" t="s">
        <v>900</v>
      </c>
    </row>
    <row r="235" spans="1:3" x14ac:dyDescent="0.2">
      <c r="A235" s="15">
        <v>42968</v>
      </c>
      <c r="B235" s="14" t="s">
        <v>902</v>
      </c>
      <c r="C235" s="14" t="s">
        <v>903</v>
      </c>
    </row>
    <row r="236" spans="1:3" x14ac:dyDescent="0.2">
      <c r="A236" s="14"/>
      <c r="B236" s="14"/>
      <c r="C236" s="14" t="s">
        <v>904</v>
      </c>
    </row>
    <row r="237" spans="1:3" x14ac:dyDescent="0.2">
      <c r="A237" s="14"/>
      <c r="B237" s="14"/>
      <c r="C237" s="14" t="s">
        <v>905</v>
      </c>
    </row>
    <row r="238" spans="1:3" x14ac:dyDescent="0.2">
      <c r="A238" s="14"/>
      <c r="B238" s="14"/>
      <c r="C238" s="14" t="s">
        <v>906</v>
      </c>
    </row>
    <row r="239" spans="1:3" x14ac:dyDescent="0.2">
      <c r="A239" s="15">
        <v>42979</v>
      </c>
      <c r="B239" s="14" t="s">
        <v>909</v>
      </c>
      <c r="C239" s="14" t="s">
        <v>910</v>
      </c>
    </row>
    <row r="240" spans="1:3" x14ac:dyDescent="0.2">
      <c r="A240" s="14"/>
      <c r="B240" s="14"/>
      <c r="C240" s="14" t="s">
        <v>911</v>
      </c>
    </row>
    <row r="241" spans="1:3" x14ac:dyDescent="0.2">
      <c r="A241" s="14"/>
      <c r="B241" s="14"/>
      <c r="C241" s="14" t="s">
        <v>912</v>
      </c>
    </row>
    <row r="242" spans="1:3" x14ac:dyDescent="0.2">
      <c r="A242" s="15">
        <v>42991</v>
      </c>
      <c r="B242" s="14" t="s">
        <v>913</v>
      </c>
      <c r="C242" s="14" t="s">
        <v>929</v>
      </c>
    </row>
    <row r="243" spans="1:3" x14ac:dyDescent="0.2">
      <c r="A243" s="14"/>
      <c r="B243" s="14"/>
      <c r="C243" s="14" t="s">
        <v>931</v>
      </c>
    </row>
    <row r="244" spans="1:3" x14ac:dyDescent="0.2">
      <c r="A244" s="14"/>
      <c r="B244" s="14"/>
      <c r="C244" s="14" t="s">
        <v>933</v>
      </c>
    </row>
    <row r="245" spans="1:3" x14ac:dyDescent="0.2">
      <c r="A245" s="14"/>
      <c r="B245" s="14"/>
      <c r="C245" s="14" t="s">
        <v>934</v>
      </c>
    </row>
    <row r="246" spans="1:3" x14ac:dyDescent="0.2">
      <c r="A246" s="15">
        <v>42996</v>
      </c>
      <c r="B246" s="14" t="s">
        <v>935</v>
      </c>
      <c r="C246" s="14" t="s">
        <v>936</v>
      </c>
    </row>
    <row r="247" spans="1:3" x14ac:dyDescent="0.2">
      <c r="A247" s="14"/>
      <c r="B247" s="14"/>
      <c r="C247" s="14" t="s">
        <v>937</v>
      </c>
    </row>
    <row r="248" spans="1:3" x14ac:dyDescent="0.2">
      <c r="A248" s="14"/>
      <c r="B248" s="14"/>
      <c r="C248" s="14" t="s">
        <v>938</v>
      </c>
    </row>
    <row r="249" spans="1:3" x14ac:dyDescent="0.2">
      <c r="A249" s="14"/>
      <c r="B249" s="14"/>
      <c r="C249" s="14" t="s">
        <v>942</v>
      </c>
    </row>
    <row r="250" spans="1:3" x14ac:dyDescent="0.2">
      <c r="A250" s="14"/>
      <c r="B250" s="14"/>
      <c r="C250" s="14" t="s">
        <v>945</v>
      </c>
    </row>
    <row r="251" spans="1:3" x14ac:dyDescent="0.2">
      <c r="A251" s="14"/>
      <c r="B251" s="14"/>
      <c r="C251" s="14" t="s">
        <v>946</v>
      </c>
    </row>
    <row r="252" spans="1:3" x14ac:dyDescent="0.2">
      <c r="A252" s="15">
        <v>42999</v>
      </c>
      <c r="B252" s="14" t="s">
        <v>951</v>
      </c>
      <c r="C252" s="14" t="s">
        <v>952</v>
      </c>
    </row>
    <row r="253" spans="1:3" x14ac:dyDescent="0.2">
      <c r="A253" s="15"/>
      <c r="C253" s="14" t="s">
        <v>953</v>
      </c>
    </row>
    <row r="254" spans="1:3" x14ac:dyDescent="0.2">
      <c r="A254" s="15">
        <v>43001</v>
      </c>
      <c r="B254" s="14" t="s">
        <v>954</v>
      </c>
      <c r="C254" s="14" t="s">
        <v>955</v>
      </c>
    </row>
    <row r="255" spans="1:3" x14ac:dyDescent="0.2">
      <c r="C255" s="14" t="s">
        <v>956</v>
      </c>
    </row>
    <row r="256" spans="1:3" x14ac:dyDescent="0.2">
      <c r="A256" s="15">
        <v>43015</v>
      </c>
      <c r="B256" s="14" t="s">
        <v>957</v>
      </c>
      <c r="C256" s="14" t="s">
        <v>958</v>
      </c>
    </row>
    <row r="257" spans="1:3" x14ac:dyDescent="0.2">
      <c r="C257" s="14" t="s">
        <v>960</v>
      </c>
    </row>
    <row r="258" spans="1:3" x14ac:dyDescent="0.2">
      <c r="A258" s="12" t="s">
        <v>963</v>
      </c>
    </row>
    <row r="259" spans="1:3" x14ac:dyDescent="0.2">
      <c r="A259" s="15">
        <v>43063</v>
      </c>
      <c r="B259" s="14" t="s">
        <v>962</v>
      </c>
      <c r="C259" s="14" t="s">
        <v>964</v>
      </c>
    </row>
    <row r="260" spans="1:3" x14ac:dyDescent="0.2">
      <c r="A260" s="15">
        <v>43064</v>
      </c>
      <c r="B260" s="14" t="s">
        <v>965</v>
      </c>
      <c r="C260" s="14" t="s">
        <v>966</v>
      </c>
    </row>
    <row r="261" spans="1:3" x14ac:dyDescent="0.2">
      <c r="A261" s="15"/>
      <c r="B261" s="14"/>
      <c r="C261" s="14" t="s">
        <v>970</v>
      </c>
    </row>
    <row r="262" spans="1:3" x14ac:dyDescent="0.2">
      <c r="A262" s="15"/>
      <c r="B262" s="14"/>
      <c r="C262" s="14" t="s">
        <v>975</v>
      </c>
    </row>
    <row r="263" spans="1:3" x14ac:dyDescent="0.2">
      <c r="A263" s="15"/>
      <c r="B263" s="14"/>
      <c r="C263" s="14" t="s">
        <v>978</v>
      </c>
    </row>
    <row r="264" spans="1:3" x14ac:dyDescent="0.2">
      <c r="A264" s="15"/>
      <c r="B264" s="14"/>
      <c r="C264" s="14" t="s">
        <v>979</v>
      </c>
    </row>
    <row r="265" spans="1:3" x14ac:dyDescent="0.2">
      <c r="A265" s="15"/>
      <c r="B265" s="14"/>
      <c r="C265" s="14" t="s">
        <v>980</v>
      </c>
    </row>
    <row r="266" spans="1:3" x14ac:dyDescent="0.2">
      <c r="A266" s="15">
        <v>43066</v>
      </c>
      <c r="B266" s="14" t="s">
        <v>982</v>
      </c>
      <c r="C266" s="14" t="s">
        <v>981</v>
      </c>
    </row>
    <row r="267" spans="1:3" x14ac:dyDescent="0.2">
      <c r="C267" s="14" t="s">
        <v>983</v>
      </c>
    </row>
    <row r="268" spans="1:3" x14ac:dyDescent="0.2">
      <c r="A268" s="15">
        <v>43068</v>
      </c>
      <c r="B268" s="14" t="s">
        <v>984</v>
      </c>
      <c r="C268" s="14" t="s">
        <v>985</v>
      </c>
    </row>
    <row r="269" spans="1:3" x14ac:dyDescent="0.2">
      <c r="A269" s="15"/>
      <c r="B269" s="14"/>
      <c r="C269" s="14" t="s">
        <v>986</v>
      </c>
    </row>
    <row r="270" spans="1:3" x14ac:dyDescent="0.2">
      <c r="A270" s="15">
        <v>43075</v>
      </c>
      <c r="B270" s="14" t="s">
        <v>987</v>
      </c>
      <c r="C270" s="14" t="s">
        <v>988</v>
      </c>
    </row>
    <row r="271" spans="1:3" x14ac:dyDescent="0.2">
      <c r="A271" s="15"/>
      <c r="B271" s="14"/>
      <c r="C271" s="14" t="s">
        <v>989</v>
      </c>
    </row>
    <row r="272" spans="1:3" x14ac:dyDescent="0.2">
      <c r="A272" s="15">
        <v>43079</v>
      </c>
      <c r="B272" s="14" t="s">
        <v>990</v>
      </c>
      <c r="C272" s="14" t="s">
        <v>991</v>
      </c>
    </row>
    <row r="273" spans="1:3" x14ac:dyDescent="0.2">
      <c r="A273" s="15"/>
      <c r="B273" s="14"/>
      <c r="C273" s="14" t="s">
        <v>992</v>
      </c>
    </row>
    <row r="274" spans="1:3" x14ac:dyDescent="0.2">
      <c r="A274" s="15"/>
      <c r="B274" s="14"/>
      <c r="C274" s="14" t="s">
        <v>994</v>
      </c>
    </row>
    <row r="275" spans="1:3" x14ac:dyDescent="0.2">
      <c r="A275" s="15">
        <v>43080</v>
      </c>
      <c r="B275" s="14" t="s">
        <v>995</v>
      </c>
      <c r="C275" s="14" t="s">
        <v>996</v>
      </c>
    </row>
    <row r="276" spans="1:3" x14ac:dyDescent="0.2">
      <c r="C276" s="14" t="s">
        <v>997</v>
      </c>
    </row>
    <row r="277" spans="1:3" x14ac:dyDescent="0.2">
      <c r="A277" s="15">
        <v>43082</v>
      </c>
      <c r="B277" s="14" t="s">
        <v>828</v>
      </c>
      <c r="C277" s="14" t="s">
        <v>998</v>
      </c>
    </row>
    <row r="278" spans="1:3" x14ac:dyDescent="0.2">
      <c r="C278" s="14" t="s">
        <v>999</v>
      </c>
    </row>
    <row r="279" spans="1:3" x14ac:dyDescent="0.2">
      <c r="C279" s="14" t="s">
        <v>1000</v>
      </c>
    </row>
    <row r="280" spans="1:3" x14ac:dyDescent="0.2">
      <c r="A280" s="15">
        <v>43088</v>
      </c>
      <c r="B280" s="14" t="s">
        <v>1098</v>
      </c>
      <c r="C280" s="14" t="s">
        <v>1001</v>
      </c>
    </row>
    <row r="281" spans="1:3" x14ac:dyDescent="0.2">
      <c r="A281" s="15"/>
      <c r="B281" s="14"/>
      <c r="C281" s="14" t="s">
        <v>1002</v>
      </c>
    </row>
    <row r="282" spans="1:3" x14ac:dyDescent="0.2">
      <c r="A282" s="15"/>
      <c r="B282" s="14"/>
      <c r="C282" s="14" t="s">
        <v>1003</v>
      </c>
    </row>
    <row r="283" spans="1:3" x14ac:dyDescent="0.2">
      <c r="A283" s="15"/>
      <c r="B283" s="14"/>
      <c r="C283" s="14" t="s">
        <v>1012</v>
      </c>
    </row>
    <row r="284" spans="1:3" x14ac:dyDescent="0.2">
      <c r="A284" s="15"/>
      <c r="B284" s="14"/>
      <c r="C284" s="14" t="s">
        <v>1036</v>
      </c>
    </row>
    <row r="285" spans="1:3" x14ac:dyDescent="0.2">
      <c r="A285" s="15"/>
      <c r="B285" s="14"/>
      <c r="C285" s="14" t="s">
        <v>1018</v>
      </c>
    </row>
    <row r="286" spans="1:3" x14ac:dyDescent="0.2">
      <c r="A286" s="15"/>
      <c r="B286" s="14"/>
      <c r="C286" s="14" t="s">
        <v>1019</v>
      </c>
    </row>
    <row r="287" spans="1:3" x14ac:dyDescent="0.2">
      <c r="A287" s="15"/>
      <c r="B287" s="14"/>
      <c r="C287" s="14" t="s">
        <v>1020</v>
      </c>
    </row>
    <row r="288" spans="1:3" x14ac:dyDescent="0.2">
      <c r="C288" s="14" t="s">
        <v>1024</v>
      </c>
    </row>
    <row r="289" spans="1:3" x14ac:dyDescent="0.2">
      <c r="A289" s="15"/>
      <c r="B289" s="14"/>
      <c r="C289" s="14" t="s">
        <v>1025</v>
      </c>
    </row>
    <row r="290" spans="1:3" x14ac:dyDescent="0.2">
      <c r="A290" s="15"/>
      <c r="B290" s="14"/>
      <c r="C290" s="14" t="s">
        <v>1030</v>
      </c>
    </row>
    <row r="291" spans="1:3" x14ac:dyDescent="0.2">
      <c r="A291" s="15"/>
      <c r="B291" s="14"/>
      <c r="C291" s="14" t="s">
        <v>1034</v>
      </c>
    </row>
    <row r="292" spans="1:3" x14ac:dyDescent="0.2">
      <c r="A292" s="15"/>
      <c r="B292" s="14"/>
      <c r="C292" s="14" t="s">
        <v>1035</v>
      </c>
    </row>
    <row r="293" spans="1:3" x14ac:dyDescent="0.2">
      <c r="A293" s="15"/>
      <c r="B293" s="14"/>
      <c r="C293" s="14" t="s">
        <v>1039</v>
      </c>
    </row>
    <row r="294" spans="1:3" x14ac:dyDescent="0.2">
      <c r="A294" s="15"/>
      <c r="B294" s="14"/>
      <c r="C294" s="14" t="s">
        <v>1040</v>
      </c>
    </row>
    <row r="295" spans="1:3" x14ac:dyDescent="0.2">
      <c r="A295" s="15"/>
      <c r="B295" s="14"/>
      <c r="C295" s="14" t="s">
        <v>1056</v>
      </c>
    </row>
    <row r="296" spans="1:3" x14ac:dyDescent="0.2">
      <c r="A296" s="15"/>
      <c r="B296" s="14"/>
      <c r="C296" s="14" t="s">
        <v>1048</v>
      </c>
    </row>
    <row r="297" spans="1:3" x14ac:dyDescent="0.2">
      <c r="C297" s="14" t="s">
        <v>1052</v>
      </c>
    </row>
    <row r="298" spans="1:3" x14ac:dyDescent="0.2">
      <c r="A298" s="15"/>
      <c r="B298" s="14"/>
      <c r="C298" s="14" t="s">
        <v>1055</v>
      </c>
    </row>
    <row r="299" spans="1:3" x14ac:dyDescent="0.2">
      <c r="C299" s="14" t="s">
        <v>1075</v>
      </c>
    </row>
    <row r="300" spans="1:3" x14ac:dyDescent="0.2">
      <c r="C300" s="14" t="s">
        <v>1074</v>
      </c>
    </row>
    <row r="301" spans="1:3" x14ac:dyDescent="0.2">
      <c r="C301" s="14" t="s">
        <v>1129</v>
      </c>
    </row>
    <row r="302" spans="1:3" x14ac:dyDescent="0.2">
      <c r="C302" s="14"/>
    </row>
    <row r="303" spans="1:3" x14ac:dyDescent="0.2">
      <c r="A303" s="15">
        <v>43106</v>
      </c>
      <c r="B303" s="14" t="s">
        <v>1138</v>
      </c>
      <c r="C303" s="14" t="s">
        <v>1139</v>
      </c>
    </row>
    <row r="304" spans="1:3" x14ac:dyDescent="0.2">
      <c r="A304" s="15"/>
      <c r="B304" s="14"/>
      <c r="C304" s="14" t="s">
        <v>1209</v>
      </c>
    </row>
    <row r="305" spans="1:3" x14ac:dyDescent="0.2">
      <c r="A305" s="15"/>
      <c r="B305" s="14"/>
      <c r="C305" s="14" t="s">
        <v>1145</v>
      </c>
    </row>
    <row r="306" spans="1:3" x14ac:dyDescent="0.2">
      <c r="A306" s="15"/>
      <c r="B306" s="14"/>
      <c r="C306" s="14" t="s">
        <v>1146</v>
      </c>
    </row>
    <row r="307" spans="1:3" x14ac:dyDescent="0.2">
      <c r="A307" s="15"/>
      <c r="B307" s="14"/>
      <c r="C307" s="14" t="s">
        <v>1162</v>
      </c>
    </row>
    <row r="308" spans="1:3" x14ac:dyDescent="0.2">
      <c r="A308" s="15"/>
      <c r="B308" s="14"/>
      <c r="C308" s="14" t="s">
        <v>1189</v>
      </c>
    </row>
    <row r="309" spans="1:3" x14ac:dyDescent="0.2">
      <c r="A309" s="15"/>
      <c r="B309" s="14"/>
      <c r="C309" s="14" t="s">
        <v>1221</v>
      </c>
    </row>
    <row r="310" spans="1:3" x14ac:dyDescent="0.2">
      <c r="A310" s="15"/>
      <c r="B310" s="14"/>
      <c r="C310" s="14" t="s">
        <v>1163</v>
      </c>
    </row>
    <row r="311" spans="1:3" x14ac:dyDescent="0.2">
      <c r="A311" s="15"/>
      <c r="C311" s="14" t="s">
        <v>1201</v>
      </c>
    </row>
    <row r="312" spans="1:3" x14ac:dyDescent="0.2">
      <c r="A312" s="15"/>
      <c r="B312" s="14"/>
      <c r="C312" s="14" t="s">
        <v>1202</v>
      </c>
    </row>
    <row r="313" spans="1:3" x14ac:dyDescent="0.2">
      <c r="A313" s="15"/>
      <c r="B313" s="14"/>
      <c r="C313" s="14" t="s">
        <v>1222</v>
      </c>
    </row>
    <row r="314" spans="1:3" x14ac:dyDescent="0.2">
      <c r="A314" s="15"/>
      <c r="B314" s="14"/>
      <c r="C314" s="14" t="s">
        <v>1207</v>
      </c>
    </row>
    <row r="315" spans="1:3" x14ac:dyDescent="0.2">
      <c r="A315" s="15"/>
      <c r="B315" s="14"/>
      <c r="C315" s="14" t="s">
        <v>1208</v>
      </c>
    </row>
    <row r="316" spans="1:3" x14ac:dyDescent="0.2">
      <c r="A316" s="15"/>
      <c r="B316" s="14"/>
      <c r="C316" s="14" t="s">
        <v>1210</v>
      </c>
    </row>
    <row r="317" spans="1:3" x14ac:dyDescent="0.2">
      <c r="A317" s="15"/>
      <c r="B317" s="14"/>
      <c r="C317" s="14" t="s">
        <v>1214</v>
      </c>
    </row>
    <row r="318" spans="1:3" x14ac:dyDescent="0.2">
      <c r="A318" s="15"/>
      <c r="B318" s="14"/>
      <c r="C318" s="14" t="s">
        <v>1219</v>
      </c>
    </row>
    <row r="319" spans="1:3" x14ac:dyDescent="0.2">
      <c r="A319" s="15"/>
      <c r="B319" s="14"/>
      <c r="C319" s="14" t="s">
        <v>1220</v>
      </c>
    </row>
    <row r="320" spans="1:3" x14ac:dyDescent="0.2">
      <c r="C320" s="14" t="s">
        <v>1223</v>
      </c>
    </row>
    <row r="321" spans="1:3" x14ac:dyDescent="0.2">
      <c r="A321" s="15"/>
      <c r="B321" s="14"/>
      <c r="C321" s="14" t="s">
        <v>1226</v>
      </c>
    </row>
    <row r="322" spans="1:3" x14ac:dyDescent="0.2">
      <c r="C322" s="14" t="s">
        <v>1228</v>
      </c>
    </row>
    <row r="323" spans="1:3" x14ac:dyDescent="0.2">
      <c r="A323" s="15">
        <v>43106</v>
      </c>
      <c r="B323" s="14" t="s">
        <v>1232</v>
      </c>
      <c r="C323" s="14" t="s">
        <v>1233</v>
      </c>
    </row>
    <row r="324" spans="1:3" x14ac:dyDescent="0.2">
      <c r="A324" s="15"/>
      <c r="B324" s="14"/>
      <c r="C324" s="14" t="s">
        <v>1234</v>
      </c>
    </row>
    <row r="325" spans="1:3" x14ac:dyDescent="0.2">
      <c r="A325" s="15">
        <v>43115</v>
      </c>
      <c r="B325" s="14" t="s">
        <v>1238</v>
      </c>
      <c r="C325" s="14" t="s">
        <v>1239</v>
      </c>
    </row>
    <row r="326" spans="1:3" x14ac:dyDescent="0.2">
      <c r="A326" s="15">
        <v>43130</v>
      </c>
      <c r="B326" s="14" t="s">
        <v>1240</v>
      </c>
      <c r="C326" s="14" t="s">
        <v>1241</v>
      </c>
    </row>
    <row r="327" spans="1:3" x14ac:dyDescent="0.2">
      <c r="A327" s="15"/>
      <c r="B327" s="14"/>
      <c r="C327" s="14" t="s">
        <v>1242</v>
      </c>
    </row>
    <row r="328" spans="1:3" x14ac:dyDescent="0.2">
      <c r="A328" s="15"/>
      <c r="B328" s="14"/>
      <c r="C328" s="14" t="s">
        <v>1243</v>
      </c>
    </row>
    <row r="329" spans="1:3" x14ac:dyDescent="0.2">
      <c r="A329" s="15"/>
      <c r="B329" s="14"/>
      <c r="C329" s="14" t="s">
        <v>1244</v>
      </c>
    </row>
    <row r="330" spans="1:3" x14ac:dyDescent="0.2">
      <c r="A330" s="15">
        <v>43147</v>
      </c>
      <c r="B330" s="14" t="s">
        <v>1245</v>
      </c>
      <c r="C330" s="14" t="s">
        <v>1246</v>
      </c>
    </row>
    <row r="331" spans="1:3" x14ac:dyDescent="0.2">
      <c r="A331" s="15"/>
      <c r="C331" s="14" t="s">
        <v>1247</v>
      </c>
    </row>
    <row r="332" spans="1:3" x14ac:dyDescent="0.2">
      <c r="A332" s="15"/>
      <c r="B332" s="14"/>
      <c r="C332" s="14" t="s">
        <v>1248</v>
      </c>
    </row>
    <row r="333" spans="1:3" x14ac:dyDescent="0.2">
      <c r="A333" s="15">
        <v>43266</v>
      </c>
      <c r="B333" s="14" t="s">
        <v>1250</v>
      </c>
      <c r="C333" s="14" t="s">
        <v>1251</v>
      </c>
    </row>
    <row r="334" spans="1:3" x14ac:dyDescent="0.2">
      <c r="A334" s="15"/>
      <c r="B334" s="14"/>
      <c r="C334" s="14" t="s">
        <v>1252</v>
      </c>
    </row>
    <row r="335" spans="1:3" x14ac:dyDescent="0.2">
      <c r="A335" s="15"/>
      <c r="B335" s="14"/>
      <c r="C335" s="14" t="s">
        <v>1253</v>
      </c>
    </row>
    <row r="336" spans="1:3" x14ac:dyDescent="0.2">
      <c r="A336" s="15"/>
      <c r="B336" s="14"/>
      <c r="C336" s="14" t="s">
        <v>1254</v>
      </c>
    </row>
    <row r="337" spans="1:3" x14ac:dyDescent="0.2">
      <c r="A337" s="15"/>
      <c r="B337" s="14"/>
      <c r="C337" s="14" t="s">
        <v>1257</v>
      </c>
    </row>
    <row r="338" spans="1:3" x14ac:dyDescent="0.2">
      <c r="A338" s="15">
        <v>43268</v>
      </c>
      <c r="B338" s="14" t="s">
        <v>1259</v>
      </c>
      <c r="C338" s="14" t="s">
        <v>1260</v>
      </c>
    </row>
    <row r="339" spans="1:3" x14ac:dyDescent="0.2">
      <c r="A339" s="15">
        <v>43287</v>
      </c>
      <c r="B339" s="14" t="s">
        <v>1261</v>
      </c>
      <c r="C339" s="14" t="s">
        <v>1262</v>
      </c>
    </row>
    <row r="340" spans="1:3" x14ac:dyDescent="0.2">
      <c r="C340" s="14" t="s">
        <v>1264</v>
      </c>
    </row>
    <row r="341" spans="1:3" x14ac:dyDescent="0.2">
      <c r="A341" s="15">
        <v>43315</v>
      </c>
      <c r="B341" s="14" t="s">
        <v>1265</v>
      </c>
      <c r="C341" s="14" t="s">
        <v>1266</v>
      </c>
    </row>
    <row r="342" spans="1:3" x14ac:dyDescent="0.2">
      <c r="C342" s="14" t="s">
        <v>1267</v>
      </c>
    </row>
    <row r="343" spans="1:3" x14ac:dyDescent="0.2">
      <c r="A343" s="15">
        <v>43383</v>
      </c>
      <c r="B343" s="14" t="s">
        <v>1268</v>
      </c>
      <c r="C343" s="14" t="s">
        <v>1269</v>
      </c>
    </row>
    <row r="344" spans="1:3" x14ac:dyDescent="0.2">
      <c r="A344" s="15">
        <v>43458</v>
      </c>
      <c r="B344" s="14" t="s">
        <v>1270</v>
      </c>
      <c r="C344" s="14" t="s">
        <v>1271</v>
      </c>
    </row>
    <row r="345" spans="1:3" x14ac:dyDescent="0.2">
      <c r="A345" s="15"/>
      <c r="B345" s="14"/>
      <c r="C345" s="14" t="s">
        <v>1272</v>
      </c>
    </row>
    <row r="346" spans="1:3" x14ac:dyDescent="0.2">
      <c r="A346" s="15"/>
      <c r="B346" s="14"/>
      <c r="C346" s="14" t="s">
        <v>1273</v>
      </c>
    </row>
    <row r="347" spans="1:3" x14ac:dyDescent="0.2">
      <c r="A347" s="15"/>
      <c r="B347" s="14"/>
      <c r="C347" s="14"/>
    </row>
    <row r="348" spans="1:3" x14ac:dyDescent="0.2">
      <c r="A348" s="15"/>
      <c r="B348" s="14"/>
      <c r="C348" s="14"/>
    </row>
    <row r="349" spans="1:3" x14ac:dyDescent="0.2">
      <c r="A349" s="15"/>
      <c r="B349" s="14"/>
      <c r="C349" s="14"/>
    </row>
    <row r="350" spans="1:3" x14ac:dyDescent="0.2">
      <c r="A350" s="15"/>
      <c r="B350" s="14"/>
      <c r="C350" s="14"/>
    </row>
    <row r="351" spans="1:3" x14ac:dyDescent="0.2">
      <c r="A351" s="15"/>
      <c r="C351" s="14"/>
    </row>
    <row r="352" spans="1:3" x14ac:dyDescent="0.2">
      <c r="A352" s="15"/>
      <c r="B352" s="14"/>
      <c r="C352" s="14"/>
    </row>
    <row r="353" spans="1:3" x14ac:dyDescent="0.2">
      <c r="A353" s="15"/>
      <c r="B353" s="14"/>
      <c r="C353" s="14"/>
    </row>
    <row r="354" spans="1:3" x14ac:dyDescent="0.2">
      <c r="A354" s="15"/>
      <c r="B354" s="14"/>
      <c r="C354" s="14"/>
    </row>
    <row r="355" spans="1:3" x14ac:dyDescent="0.2">
      <c r="A355" s="15"/>
      <c r="B355" s="14"/>
      <c r="C355" s="14"/>
    </row>
    <row r="356" spans="1:3" x14ac:dyDescent="0.2">
      <c r="A356" s="15"/>
      <c r="B356" s="14"/>
      <c r="C356" s="14"/>
    </row>
    <row r="357" spans="1:3" x14ac:dyDescent="0.2">
      <c r="A357" s="15"/>
      <c r="B357" s="14"/>
      <c r="C357" s="14"/>
    </row>
    <row r="358" spans="1:3" x14ac:dyDescent="0.2">
      <c r="A358" s="15"/>
      <c r="B358" s="14"/>
      <c r="C358" s="14"/>
    </row>
    <row r="359" spans="1:3" x14ac:dyDescent="0.2">
      <c r="A359" s="15"/>
      <c r="B359" s="14"/>
      <c r="C359" s="14"/>
    </row>
    <row r="360" spans="1:3" x14ac:dyDescent="0.2">
      <c r="C360" s="14"/>
    </row>
    <row r="361" spans="1:3" x14ac:dyDescent="0.2">
      <c r="A361" s="15"/>
      <c r="B361" s="14"/>
      <c r="C361" s="14"/>
    </row>
    <row r="362" spans="1:3" x14ac:dyDescent="0.2">
      <c r="C362" s="14"/>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dimension ref="A1:AA102"/>
  <sheetViews>
    <sheetView showGridLines="0" tabSelected="1" topLeftCell="A16" zoomScaleNormal="100" workbookViewId="0">
      <selection activeCell="D37" sqref="D37"/>
    </sheetView>
  </sheetViews>
  <sheetFormatPr defaultRowHeight="11.25" x14ac:dyDescent="0.2"/>
  <cols>
    <col min="1" max="1" width="4.28515625" style="2" customWidth="1"/>
    <col min="2" max="2" width="18.7109375" style="2" bestFit="1" customWidth="1"/>
    <col min="3" max="3" width="21.5703125" style="2" customWidth="1"/>
    <col min="4" max="4" width="17.5703125" style="2" bestFit="1" customWidth="1"/>
    <col min="5" max="5" width="6.140625" style="2" customWidth="1"/>
    <col min="6" max="6" width="5.28515625" style="2" customWidth="1"/>
    <col min="7" max="7" width="5.140625" style="2" customWidth="1"/>
    <col min="8" max="8" width="17" style="2" customWidth="1"/>
    <col min="9" max="9" width="5" style="2" customWidth="1"/>
    <col min="10" max="10" width="14.28515625" style="2" customWidth="1"/>
    <col min="11" max="11" width="6.42578125" style="2" customWidth="1"/>
    <col min="12" max="12" width="14.5703125" style="2" customWidth="1"/>
    <col min="13" max="13" width="5.140625" style="2" customWidth="1"/>
    <col min="14" max="14" width="4.42578125" style="2" bestFit="1" customWidth="1"/>
    <col min="15" max="15" width="17.5703125" style="2" customWidth="1"/>
    <col min="16" max="16" width="7.42578125" style="2" bestFit="1" customWidth="1"/>
    <col min="17" max="17" width="9.85546875" style="2" customWidth="1"/>
    <col min="18" max="18" width="10.42578125" style="2" customWidth="1"/>
    <col min="19" max="19" width="7.85546875" style="2" customWidth="1"/>
    <col min="20" max="20" width="8.140625" style="2" customWidth="1"/>
    <col min="21" max="16384" width="9.140625" style="2"/>
  </cols>
  <sheetData>
    <row r="1" spans="1:27" x14ac:dyDescent="0.2">
      <c r="A1" s="57"/>
      <c r="B1" s="57"/>
      <c r="C1" s="57"/>
      <c r="D1" s="57"/>
      <c r="E1" s="57"/>
      <c r="F1" s="57"/>
      <c r="G1" s="57"/>
      <c r="H1" s="57"/>
      <c r="I1" s="57"/>
      <c r="J1" s="57"/>
      <c r="K1" s="57"/>
      <c r="L1" s="57"/>
      <c r="M1" s="57"/>
      <c r="N1" s="57"/>
      <c r="O1" s="57"/>
      <c r="P1" s="57"/>
      <c r="Q1" s="57"/>
      <c r="R1" s="57"/>
      <c r="S1" s="57"/>
      <c r="T1" s="57"/>
      <c r="U1" s="57"/>
      <c r="V1" s="57"/>
      <c r="W1" s="57"/>
      <c r="X1" s="57"/>
      <c r="Y1" s="57"/>
      <c r="Z1" s="57"/>
      <c r="AA1" s="57"/>
    </row>
    <row r="2" spans="1:27" ht="12.75" customHeight="1" x14ac:dyDescent="0.2">
      <c r="B2" s="157" t="s">
        <v>1149</v>
      </c>
      <c r="C2" s="159" t="s">
        <v>1147</v>
      </c>
      <c r="D2" s="150" t="s">
        <v>1058</v>
      </c>
      <c r="E2" s="150"/>
      <c r="F2" s="150"/>
      <c r="G2" s="150"/>
      <c r="H2" s="150"/>
      <c r="I2" s="150"/>
      <c r="J2" s="150"/>
      <c r="K2" s="150"/>
      <c r="L2" s="150"/>
      <c r="M2" s="150"/>
      <c r="N2" s="150"/>
      <c r="O2" s="150"/>
      <c r="P2" s="150"/>
      <c r="Q2" s="151"/>
      <c r="R2" s="57"/>
      <c r="S2" s="57"/>
      <c r="T2" s="57"/>
      <c r="U2" s="57"/>
      <c r="V2" s="57"/>
      <c r="W2" s="57"/>
      <c r="X2" s="57"/>
      <c r="Y2" s="57"/>
      <c r="Z2" s="57"/>
      <c r="AA2" s="57"/>
    </row>
    <row r="3" spans="1:27" ht="11.25" customHeight="1" x14ac:dyDescent="0.2">
      <c r="A3" s="57"/>
      <c r="B3" s="158"/>
      <c r="C3" s="160"/>
      <c r="D3" s="152"/>
      <c r="E3" s="152"/>
      <c r="F3" s="152"/>
      <c r="G3" s="152"/>
      <c r="H3" s="152"/>
      <c r="I3" s="152"/>
      <c r="J3" s="152"/>
      <c r="K3" s="152"/>
      <c r="L3" s="152"/>
      <c r="M3" s="152"/>
      <c r="N3" s="152"/>
      <c r="O3" s="152"/>
      <c r="P3" s="152"/>
      <c r="Q3" s="153"/>
      <c r="R3" s="57"/>
      <c r="S3" s="57"/>
      <c r="T3" s="57"/>
      <c r="U3" s="57"/>
      <c r="V3" s="57"/>
      <c r="W3" s="57"/>
      <c r="X3" s="57"/>
      <c r="Y3" s="57"/>
      <c r="Z3" s="57"/>
      <c r="AA3" s="57"/>
    </row>
    <row r="4" spans="1:27" x14ac:dyDescent="0.2">
      <c r="A4" s="57"/>
      <c r="B4" s="70" t="s">
        <v>390</v>
      </c>
      <c r="C4" s="72" t="s">
        <v>0</v>
      </c>
      <c r="D4" s="72" t="s">
        <v>557</v>
      </c>
      <c r="E4" s="71" t="s">
        <v>1</v>
      </c>
      <c r="F4" s="71" t="s">
        <v>2</v>
      </c>
      <c r="G4" s="71" t="s">
        <v>3</v>
      </c>
      <c r="H4" s="71" t="s">
        <v>1062</v>
      </c>
      <c r="I4" s="71" t="s">
        <v>5</v>
      </c>
      <c r="J4" s="71" t="s">
        <v>6</v>
      </c>
      <c r="K4" s="71" t="s">
        <v>140</v>
      </c>
      <c r="L4" s="71" t="s">
        <v>156</v>
      </c>
      <c r="M4" s="71" t="s">
        <v>584</v>
      </c>
      <c r="N4" s="71" t="s">
        <v>7</v>
      </c>
      <c r="O4" s="71" t="s">
        <v>566</v>
      </c>
      <c r="P4" s="71" t="s">
        <v>567</v>
      </c>
      <c r="Q4" s="93" t="s">
        <v>500</v>
      </c>
      <c r="R4" s="57"/>
      <c r="S4" s="57"/>
      <c r="T4" s="57"/>
      <c r="U4" s="57"/>
      <c r="V4" s="57"/>
      <c r="W4" s="57"/>
      <c r="X4" s="57"/>
      <c r="Y4" s="57"/>
      <c r="Z4" s="57"/>
      <c r="AA4" s="57"/>
    </row>
    <row r="5" spans="1:27" s="5" customFormat="1" x14ac:dyDescent="0.2">
      <c r="A5" s="58"/>
      <c r="B5" s="94" t="s">
        <v>10</v>
      </c>
      <c r="C5" s="95" t="s">
        <v>158</v>
      </c>
      <c r="D5" s="94">
        <f>VLOOKUP(C5,HeadStats,13, FALSE)</f>
        <v>0</v>
      </c>
      <c r="E5" s="96">
        <f>VLOOKUP(C5,HeadStats,2, FALSE)</f>
        <v>0</v>
      </c>
      <c r="F5" s="96">
        <f>VLOOKUP(C5,HeadStats,3, FALSE)</f>
        <v>0</v>
      </c>
      <c r="G5" s="96">
        <f>VLOOKUP(C5,HeadStats,4, FALSE)</f>
        <v>29</v>
      </c>
      <c r="H5" s="97">
        <f>VLOOKUP(C5,HeadStats,5, FALSE)</f>
        <v>34</v>
      </c>
      <c r="I5" s="97">
        <f>VLOOKUP(C5,HeadStats,6, FALSE)</f>
        <v>18</v>
      </c>
      <c r="J5" s="96">
        <f>VLOOKUP(C5,HeadStats,7, FALSE)</f>
        <v>0</v>
      </c>
      <c r="K5" s="96">
        <f>VLOOKUP(C5,HeadStats,8, FALSE)</f>
        <v>0</v>
      </c>
      <c r="L5" s="96">
        <f>VLOOKUP(C5,HeadStats,9, FALSE)</f>
        <v>0</v>
      </c>
      <c r="M5" s="96">
        <f>VLOOKUP(C5,HeadStats,10, FALSE)</f>
        <v>6</v>
      </c>
      <c r="N5" s="96">
        <f>VLOOKUP(C5,HeadStats,11,FALSE)</f>
        <v>739</v>
      </c>
      <c r="O5" s="96">
        <f>IF(D5=D27,VLOOKUP(C5,HeadStats,12, FALSE),0)</f>
        <v>0</v>
      </c>
      <c r="P5" s="96">
        <f>IF(D5=D29,VLOOKUP(C5,HeadStats,12, FALSE),0)</f>
        <v>0</v>
      </c>
      <c r="Q5" s="96"/>
      <c r="R5" s="54"/>
      <c r="S5" s="57"/>
      <c r="T5" s="57"/>
      <c r="U5" s="57"/>
      <c r="V5" s="57"/>
      <c r="W5" s="57"/>
      <c r="X5" s="57"/>
      <c r="Y5" s="57"/>
      <c r="Z5" s="57"/>
      <c r="AA5" s="57"/>
    </row>
    <row r="6" spans="1:27" x14ac:dyDescent="0.2">
      <c r="A6" s="58"/>
      <c r="B6" s="90" t="s">
        <v>394</v>
      </c>
      <c r="C6" s="91" t="s">
        <v>125</v>
      </c>
      <c r="D6" s="77"/>
      <c r="E6" s="54"/>
      <c r="F6" s="54"/>
      <c r="G6" s="54">
        <f>VLOOKUP(C6,HeadEnchantStats,2, FALSE)</f>
        <v>0</v>
      </c>
      <c r="H6" s="78">
        <f>VLOOKUP(C6,HeadEnchantStats,3, FALSE)</f>
        <v>0</v>
      </c>
      <c r="I6" s="78">
        <f>VLOOKUP(C6,HeadEnchantStats,4, FALSE)</f>
        <v>0</v>
      </c>
      <c r="J6" s="54"/>
      <c r="K6" s="54"/>
      <c r="L6" s="54"/>
      <c r="M6" s="54"/>
      <c r="N6" s="54"/>
      <c r="O6" s="54"/>
      <c r="P6" s="54"/>
      <c r="Q6" s="54"/>
      <c r="R6" s="54"/>
      <c r="S6" s="57"/>
      <c r="T6" s="57"/>
      <c r="U6" s="57"/>
      <c r="V6" s="57"/>
      <c r="W6" s="57"/>
      <c r="X6" s="57"/>
      <c r="Y6" s="57"/>
      <c r="Z6" s="57"/>
      <c r="AA6" s="57"/>
    </row>
    <row r="7" spans="1:27" x14ac:dyDescent="0.2">
      <c r="A7" s="58"/>
      <c r="B7" s="94" t="s">
        <v>12</v>
      </c>
      <c r="C7" s="95" t="s">
        <v>174</v>
      </c>
      <c r="D7" s="94"/>
      <c r="E7" s="96">
        <f>VLOOKUP(C7,NeckStats,2, FALSE)</f>
        <v>1</v>
      </c>
      <c r="F7" s="96">
        <f>VLOOKUP(C7,NeckStats,3, FALSE)</f>
        <v>1</v>
      </c>
      <c r="G7" s="96">
        <f>VLOOKUP(C7,NeckStats,4, FALSE)</f>
        <v>0</v>
      </c>
      <c r="H7" s="97">
        <f>VLOOKUP(C7,NeckStats,5, FALSE)</f>
        <v>9</v>
      </c>
      <c r="I7" s="97">
        <f>VLOOKUP(C7,NeckStats,6, FALSE)</f>
        <v>12</v>
      </c>
      <c r="J7" s="96">
        <f>VLOOKUP(C7,NeckStats,7, FALSE)</f>
        <v>0</v>
      </c>
      <c r="K7" s="96">
        <f>VLOOKUP(C7,NeckStats,8, FALSE)</f>
        <v>0</v>
      </c>
      <c r="L7" s="96">
        <f>VLOOKUP(C7,NeckStats,9, FALSE)</f>
        <v>0</v>
      </c>
      <c r="M7" s="96">
        <f>VLOOKUP(C7,NeckStats,10, FALSE)</f>
        <v>0</v>
      </c>
      <c r="N7" s="96">
        <f>VLOOKUP(C7,NeckStats,11, FALSE)</f>
        <v>0</v>
      </c>
      <c r="O7" s="96"/>
      <c r="P7" s="96"/>
      <c r="Q7" s="96"/>
      <c r="R7" s="54"/>
      <c r="S7" s="57"/>
      <c r="T7" s="57"/>
      <c r="U7" s="57"/>
      <c r="V7" s="57"/>
      <c r="W7" s="57"/>
      <c r="X7" s="57"/>
      <c r="Y7" s="57"/>
      <c r="Z7" s="57"/>
      <c r="AA7" s="57"/>
    </row>
    <row r="8" spans="1:27" x14ac:dyDescent="0.2">
      <c r="A8" s="58"/>
      <c r="B8" s="54" t="s">
        <v>14</v>
      </c>
      <c r="C8" s="83" t="s">
        <v>100</v>
      </c>
      <c r="D8" s="77"/>
      <c r="E8" s="78">
        <f>VLOOKUP(C8,ShoulderStats,2, FALSE)</f>
        <v>0</v>
      </c>
      <c r="F8" s="78">
        <f>VLOOKUP(C8,ShoulderStats,3, FALSE)</f>
        <v>0</v>
      </c>
      <c r="G8" s="78">
        <f>VLOOKUP(C8,ShoulderStats,4, FALSE)</f>
        <v>20</v>
      </c>
      <c r="H8" s="78">
        <f>VLOOKUP(C8,ShoulderStats,5, FALSE)</f>
        <v>17</v>
      </c>
      <c r="I8" s="78">
        <f>VLOOKUP(C8,ShoulderStats,6, FALSE)</f>
        <v>20</v>
      </c>
      <c r="J8" s="78">
        <f>VLOOKUP(C8,ShoulderStats,7, FALSE)</f>
        <v>0</v>
      </c>
      <c r="K8" s="78">
        <f>VLOOKUP(C8,ShoulderStats,8, FALSE)</f>
        <v>1</v>
      </c>
      <c r="L8" s="78">
        <f>VLOOKUP(C8,ShoulderStats,9, FALSE)</f>
        <v>0</v>
      </c>
      <c r="M8" s="78">
        <f>VLOOKUP(C8,ShoulderStats,10, FALSE)</f>
        <v>0</v>
      </c>
      <c r="N8" s="78">
        <f>VLOOKUP(C8,ShoulderStats,11, FALSE)</f>
        <v>634</v>
      </c>
      <c r="O8" s="78"/>
      <c r="P8" s="78"/>
      <c r="Q8" s="78"/>
      <c r="R8" s="78"/>
      <c r="S8" s="57"/>
      <c r="T8" s="57"/>
      <c r="U8" s="57"/>
      <c r="V8" s="57"/>
      <c r="W8" s="57"/>
      <c r="X8" s="57"/>
      <c r="Y8" s="57"/>
      <c r="Z8" s="57"/>
      <c r="AA8" s="57"/>
    </row>
    <row r="9" spans="1:27" x14ac:dyDescent="0.2">
      <c r="A9" s="58"/>
      <c r="B9" s="98" t="s">
        <v>394</v>
      </c>
      <c r="C9" s="99" t="s">
        <v>137</v>
      </c>
      <c r="D9" s="94"/>
      <c r="E9" s="96">
        <f>VLOOKUP(C9,ShoulderEnchantStats,5, FALSE)</f>
        <v>0</v>
      </c>
      <c r="F9" s="96"/>
      <c r="G9" s="96">
        <f>VLOOKUP(C9,ShoulderEnchantStats,2, FALSE)</f>
        <v>0</v>
      </c>
      <c r="H9" s="97">
        <f>VLOOKUP(C9,ShoulderEnchantStats,3, FALSE)</f>
        <v>0</v>
      </c>
      <c r="I9" s="97">
        <f>VLOOKUP(C9,ShoulderEnchantStats,4, FALSE)</f>
        <v>0</v>
      </c>
      <c r="J9" s="96">
        <f>VLOOKUP(C9,ShoulderEnchantStats,6, FALSE)</f>
        <v>30</v>
      </c>
      <c r="K9" s="96"/>
      <c r="L9" s="96"/>
      <c r="M9" s="96"/>
      <c r="N9" s="96"/>
      <c r="O9" s="96"/>
      <c r="P9" s="96"/>
      <c r="Q9" s="96"/>
      <c r="R9" s="54"/>
      <c r="S9" s="57"/>
      <c r="T9" s="57"/>
      <c r="U9" s="57"/>
      <c r="V9" s="57"/>
      <c r="W9" s="57"/>
      <c r="X9" s="57"/>
      <c r="Y9" s="57"/>
      <c r="Z9" s="57"/>
      <c r="AA9" s="57"/>
    </row>
    <row r="10" spans="1:27" x14ac:dyDescent="0.2">
      <c r="A10" s="58"/>
      <c r="B10" s="77" t="s">
        <v>15</v>
      </c>
      <c r="C10" s="82" t="s">
        <v>193</v>
      </c>
      <c r="D10" s="77"/>
      <c r="E10" s="54">
        <f>VLOOKUP(C10,BackStats,2, FALSE)</f>
        <v>0</v>
      </c>
      <c r="F10" s="54">
        <f>VLOOKUP(C10,BackStats,3, FALSE)</f>
        <v>1</v>
      </c>
      <c r="G10" s="54">
        <f>VLOOKUP(C10,BackStats,4, FALSE)</f>
        <v>15</v>
      </c>
      <c r="H10" s="78">
        <f>VLOOKUP(C10,BackStats,5, FALSE)</f>
        <v>9</v>
      </c>
      <c r="I10" s="78">
        <f>VLOOKUP(C10,BackStats,6, FALSE)</f>
        <v>9</v>
      </c>
      <c r="J10" s="54">
        <f>VLOOKUP(C10,BackStats,7, FALSE)</f>
        <v>0</v>
      </c>
      <c r="K10" s="54">
        <f>VLOOKUP(C10,BackStats,8, FALSE)</f>
        <v>0</v>
      </c>
      <c r="L10" s="54">
        <f>VLOOKUP(C10,BackStats,9, FALSE)</f>
        <v>0</v>
      </c>
      <c r="M10" s="54">
        <f>VLOOKUP(C10,BackStats,10, FALSE)</f>
        <v>0</v>
      </c>
      <c r="N10" s="54">
        <f>VLOOKUP(C10,BackStats,11, FALSE)</f>
        <v>52</v>
      </c>
      <c r="O10" s="54"/>
      <c r="P10" s="54"/>
      <c r="Q10" s="54"/>
      <c r="R10" s="54"/>
      <c r="S10" s="57"/>
      <c r="T10" s="57"/>
      <c r="U10" s="57"/>
      <c r="V10" s="57"/>
      <c r="W10" s="57"/>
      <c r="X10" s="57"/>
      <c r="Y10" s="57"/>
      <c r="Z10" s="57"/>
      <c r="AA10" s="57"/>
    </row>
    <row r="11" spans="1:27" x14ac:dyDescent="0.2">
      <c r="A11" s="58"/>
      <c r="B11" s="98" t="s">
        <v>394</v>
      </c>
      <c r="C11" s="99" t="s">
        <v>140</v>
      </c>
      <c r="D11" s="94"/>
      <c r="E11" s="96"/>
      <c r="F11" s="96"/>
      <c r="G11" s="96"/>
      <c r="H11" s="97"/>
      <c r="I11" s="97">
        <f>VLOOKUP(C11,BackEnchantStats,4, FALSE)</f>
        <v>0</v>
      </c>
      <c r="J11" s="96"/>
      <c r="K11" s="96"/>
      <c r="L11" s="96"/>
      <c r="M11" s="96"/>
      <c r="N11" s="96"/>
      <c r="O11" s="96"/>
      <c r="P11" s="96"/>
      <c r="Q11" s="96"/>
      <c r="R11" s="54"/>
      <c r="S11" s="57"/>
      <c r="T11" s="57"/>
      <c r="U11" s="57"/>
      <c r="V11" s="57"/>
      <c r="W11" s="57"/>
      <c r="X11" s="57"/>
      <c r="Y11" s="57"/>
      <c r="Z11" s="57"/>
      <c r="AA11" s="57"/>
    </row>
    <row r="12" spans="1:27" x14ac:dyDescent="0.2">
      <c r="A12" s="58"/>
      <c r="B12" s="77" t="s">
        <v>152</v>
      </c>
      <c r="C12" s="82" t="s">
        <v>96</v>
      </c>
      <c r="D12" s="77"/>
      <c r="E12" s="54">
        <f>VLOOKUP(C12,ChestStats,2, FALSE)</f>
        <v>0</v>
      </c>
      <c r="F12" s="54">
        <f>VLOOKUP(C12,ChestStats,3, FALSE)</f>
        <v>0</v>
      </c>
      <c r="G12" s="54">
        <f>VLOOKUP(C12,ChestStats,4, FALSE)</f>
        <v>34</v>
      </c>
      <c r="H12" s="78">
        <f>VLOOKUP(C12,ChestStats,5, FALSE)</f>
        <v>38</v>
      </c>
      <c r="I12" s="78">
        <f>VLOOKUP(C12,ChestStats,6, FALSE)</f>
        <v>24</v>
      </c>
      <c r="J12" s="54">
        <f>VLOOKUP(C12,ChestStats,7, FALSE)</f>
        <v>0</v>
      </c>
      <c r="K12" s="54">
        <f>VLOOKUP(C12,ChestStats,8, FALSE)</f>
        <v>0</v>
      </c>
      <c r="L12" s="54">
        <f>VLOOKUP(C12,ChestStats,9, FALSE)</f>
        <v>0</v>
      </c>
      <c r="M12" s="54">
        <f>VLOOKUP(C12,ChestStats,10, FALSE)</f>
        <v>6</v>
      </c>
      <c r="N12" s="54">
        <f>VLOOKUP(C12,ChestStats,11, FALSE)</f>
        <v>985</v>
      </c>
      <c r="O12" s="54"/>
      <c r="P12" s="54"/>
      <c r="Q12" s="54"/>
      <c r="R12" s="54"/>
      <c r="S12" s="57"/>
      <c r="T12" s="57"/>
      <c r="U12" s="57"/>
      <c r="V12" s="57"/>
      <c r="W12" s="57"/>
      <c r="X12" s="57"/>
      <c r="Y12" s="57"/>
      <c r="Z12" s="57"/>
      <c r="AA12" s="57"/>
    </row>
    <row r="13" spans="1:27" x14ac:dyDescent="0.2">
      <c r="A13" s="58"/>
      <c r="B13" s="98" t="s">
        <v>394</v>
      </c>
      <c r="C13" s="99" t="s">
        <v>153</v>
      </c>
      <c r="D13" s="94"/>
      <c r="E13" s="96"/>
      <c r="F13" s="96"/>
      <c r="G13" s="96">
        <f>VLOOKUP(C13,ChestEnchantStats,2, FALSE)</f>
        <v>4</v>
      </c>
      <c r="H13" s="97">
        <f>VLOOKUP(C13,ChestEnchantStats,3, FALSE)</f>
        <v>4</v>
      </c>
      <c r="I13" s="97">
        <f>VLOOKUP(C13,ChestEnchantStats,4, FALSE)</f>
        <v>4</v>
      </c>
      <c r="J13" s="96"/>
      <c r="K13" s="96"/>
      <c r="L13" s="96"/>
      <c r="M13" s="96"/>
      <c r="N13" s="96"/>
      <c r="O13" s="96"/>
      <c r="P13" s="96"/>
      <c r="Q13" s="96"/>
      <c r="R13" s="54"/>
      <c r="S13" s="57"/>
      <c r="T13" s="57"/>
      <c r="U13" s="57"/>
      <c r="V13" s="57"/>
      <c r="W13" s="57"/>
      <c r="X13" s="57"/>
      <c r="Y13" s="57"/>
      <c r="Z13" s="57"/>
      <c r="AA13" s="57"/>
    </row>
    <row r="14" spans="1:27" x14ac:dyDescent="0.2">
      <c r="A14" s="58"/>
      <c r="B14" s="54" t="s">
        <v>18</v>
      </c>
      <c r="C14" s="83" t="s">
        <v>219</v>
      </c>
      <c r="D14" s="77"/>
      <c r="E14" s="78">
        <f>VLOOKUP(C14,WristStats,2, FALSE)</f>
        <v>0</v>
      </c>
      <c r="F14" s="78">
        <f>VLOOKUP(C14,WristStats,3, FALSE)</f>
        <v>0</v>
      </c>
      <c r="G14" s="78">
        <f>VLOOKUP(C14,WristStats,4, FALSE)</f>
        <v>13</v>
      </c>
      <c r="H14" s="78">
        <f>VLOOKUP(C14,WristStats,5, FALSE)</f>
        <v>27</v>
      </c>
      <c r="I14" s="78">
        <f>VLOOKUP(C14,WristStats,6, FALSE)</f>
        <v>0</v>
      </c>
      <c r="J14" s="78">
        <f>VLOOKUP(C14,WristStats,7, FALSE)</f>
        <v>0</v>
      </c>
      <c r="K14" s="78">
        <f>VLOOKUP(C14,WristStats,8, FALSE)</f>
        <v>0</v>
      </c>
      <c r="L14" s="78">
        <f>VLOOKUP(C14,WristStats,9, FALSE)</f>
        <v>0</v>
      </c>
      <c r="M14" s="78">
        <f>VLOOKUP(C14,WristStats,10, FALSE)</f>
        <v>0</v>
      </c>
      <c r="N14" s="78">
        <f>VLOOKUP(C14,WristStats,11, FALSE)</f>
        <v>375</v>
      </c>
      <c r="O14" s="78"/>
      <c r="P14" s="78"/>
      <c r="Q14" s="78"/>
      <c r="R14" s="78"/>
      <c r="S14" s="57"/>
      <c r="T14" s="57"/>
      <c r="U14" s="57"/>
      <c r="V14" s="57"/>
      <c r="W14" s="57"/>
      <c r="X14" s="57"/>
      <c r="Y14" s="57"/>
      <c r="Z14" s="57"/>
      <c r="AA14" s="57"/>
    </row>
    <row r="15" spans="1:27" x14ac:dyDescent="0.2">
      <c r="A15" s="58"/>
      <c r="B15" s="98" t="s">
        <v>394</v>
      </c>
      <c r="C15" s="99" t="s">
        <v>142</v>
      </c>
      <c r="D15" s="94"/>
      <c r="E15" s="96"/>
      <c r="F15" s="96"/>
      <c r="G15" s="96">
        <f>VLOOKUP(C15,WristEnchantStats,2, FALSE)</f>
        <v>9</v>
      </c>
      <c r="H15" s="97">
        <f>VLOOKUP(C15,WristEnchantStats,3, FALSE)</f>
        <v>0</v>
      </c>
      <c r="I15" s="97"/>
      <c r="J15" s="96"/>
      <c r="K15" s="96"/>
      <c r="L15" s="96"/>
      <c r="M15" s="96"/>
      <c r="N15" s="96"/>
      <c r="O15" s="96"/>
      <c r="P15" s="96"/>
      <c r="Q15" s="96"/>
      <c r="R15" s="54"/>
      <c r="S15" s="57"/>
      <c r="T15" s="57"/>
      <c r="U15" s="57"/>
      <c r="V15" s="57"/>
      <c r="W15" s="57"/>
      <c r="X15" s="57"/>
      <c r="Y15" s="57"/>
      <c r="Z15" s="57"/>
      <c r="AA15" s="57"/>
    </row>
    <row r="16" spans="1:27" x14ac:dyDescent="0.2">
      <c r="A16" s="58"/>
      <c r="B16" s="77" t="s">
        <v>20</v>
      </c>
      <c r="C16" s="82" t="s">
        <v>168</v>
      </c>
      <c r="D16" s="77">
        <f>VLOOKUP(C16,HandStats,13, FALSE)</f>
        <v>0</v>
      </c>
      <c r="E16" s="54">
        <f>VLOOKUP(C16,HandStats,2, FALSE)</f>
        <v>0</v>
      </c>
      <c r="F16" s="54">
        <f>VLOOKUP(C16,HandStats,3, FALSE)</f>
        <v>1</v>
      </c>
      <c r="G16" s="54">
        <f>VLOOKUP(C16,HandStats,4, FALSE)</f>
        <v>22</v>
      </c>
      <c r="H16" s="78">
        <f>VLOOKUP(C16,HandStats,5, FALSE)</f>
        <v>17</v>
      </c>
      <c r="I16" s="78">
        <f>VLOOKUP(C16,HandStats,6, FALSE)</f>
        <v>0</v>
      </c>
      <c r="J16" s="54">
        <f>VLOOKUP(C16,HandStats,7, FALSE)</f>
        <v>0</v>
      </c>
      <c r="K16" s="54">
        <f>VLOOKUP(C16,HandStats,8, FALSE)</f>
        <v>0</v>
      </c>
      <c r="L16" s="54">
        <f>VLOOKUP(C16,HandStats,9, FALSE)</f>
        <v>0</v>
      </c>
      <c r="M16" s="54">
        <f>VLOOKUP(C16,HandStats,10, FALSE)</f>
        <v>5</v>
      </c>
      <c r="N16" s="54">
        <f>VLOOKUP(C16,HandStats,11, FALSE)</f>
        <v>468</v>
      </c>
      <c r="O16" s="54">
        <f>IF(D16=D27,VLOOKUP(C16,HandStats,12, FALSE),0)+IF(D16="Varied",IF(D27="Dagger",7,IF(D27="Axe",7,IF(D27="Sword",7,0))))</f>
        <v>0</v>
      </c>
      <c r="P16" s="54">
        <f>IF(D16=D29,VLOOKUP(C16,HandStats,12, FALSE),0)+IF(D16="Varied",IF(D29="Dagger",7,IF(D29="Axe",7,IF(D29="Sword",7,0))))</f>
        <v>0</v>
      </c>
      <c r="Q16" s="54"/>
      <c r="R16" s="54"/>
      <c r="S16" s="57"/>
      <c r="T16" s="57"/>
      <c r="U16" s="57"/>
      <c r="V16" s="57"/>
      <c r="W16" s="57"/>
      <c r="X16" s="57"/>
      <c r="Y16" s="57"/>
      <c r="Z16" s="57"/>
      <c r="AA16" s="57"/>
    </row>
    <row r="17" spans="1:27" x14ac:dyDescent="0.2">
      <c r="A17" s="58"/>
      <c r="B17" s="98" t="s">
        <v>394</v>
      </c>
      <c r="C17" s="99" t="s">
        <v>393</v>
      </c>
      <c r="D17" s="94"/>
      <c r="E17" s="96"/>
      <c r="F17" s="96"/>
      <c r="G17" s="96">
        <f>VLOOKUP(C17,HandEnchantStats,2, FALSE)</f>
        <v>0</v>
      </c>
      <c r="H17" s="97">
        <f>VLOOKUP(C17,HandEnchantStats,3, FALSE)</f>
        <v>0</v>
      </c>
      <c r="I17" s="97">
        <f>VLOOKUP(C17,HandEnchantStats,4, FALSE)</f>
        <v>0</v>
      </c>
      <c r="J17" s="96"/>
      <c r="K17" s="96"/>
      <c r="L17" s="96"/>
      <c r="M17" s="96"/>
      <c r="N17" s="96"/>
      <c r="O17" s="96"/>
      <c r="P17" s="96"/>
      <c r="Q17" s="96"/>
      <c r="R17" s="54"/>
      <c r="S17" s="57"/>
      <c r="T17" s="57"/>
      <c r="U17" s="57"/>
      <c r="V17" s="57"/>
      <c r="W17" s="57"/>
      <c r="X17" s="57"/>
      <c r="Y17" s="57"/>
      <c r="Z17" s="57"/>
      <c r="AA17" s="57"/>
    </row>
    <row r="18" spans="1:27" x14ac:dyDescent="0.2">
      <c r="A18" s="58"/>
      <c r="B18" s="77" t="s">
        <v>21</v>
      </c>
      <c r="C18" s="82" t="s">
        <v>22</v>
      </c>
      <c r="D18" s="77">
        <f>VLOOKUP(C18,WaistStats,13, FALSE)</f>
        <v>0</v>
      </c>
      <c r="E18" s="54">
        <f>VLOOKUP(C18,WaistStats,2, FALSE)</f>
        <v>1</v>
      </c>
      <c r="F18" s="54">
        <f>VLOOKUP(C18,WaistStats,3, FALSE)</f>
        <v>1</v>
      </c>
      <c r="G18" s="54">
        <f>VLOOKUP(C18,WaistStats,4, FALSE)</f>
        <v>31</v>
      </c>
      <c r="H18" s="78">
        <f>VLOOKUP(C18,WaistStats,5, FALSE)</f>
        <v>11</v>
      </c>
      <c r="I18" s="78">
        <f>VLOOKUP(C18,WaistStats,6, FALSE)</f>
        <v>0</v>
      </c>
      <c r="J18" s="54">
        <f>VLOOKUP(C18,WaistStats,7, FALSE)</f>
        <v>0</v>
      </c>
      <c r="K18" s="54">
        <f>VLOOKUP(C18,WaistStats,8, FALSE)</f>
        <v>0</v>
      </c>
      <c r="L18" s="54">
        <f>VLOOKUP(C18,WaistStats,9, FALSE)</f>
        <v>0</v>
      </c>
      <c r="M18" s="54">
        <f>VLOOKUP(C18,WaistStats,10, FALSE)</f>
        <v>0</v>
      </c>
      <c r="N18" s="54">
        <f>VLOOKUP(C18,WaistStats,11, FALSE)</f>
        <v>494</v>
      </c>
      <c r="O18" s="54">
        <f>IF(D18=D27,VLOOKUP(C18,WaistStats,12, FALSE),0)</f>
        <v>0</v>
      </c>
      <c r="P18" s="54">
        <f>IF(D18=D29,VLOOKUP(C18,WaistStats,12, FALSE),0)</f>
        <v>0</v>
      </c>
      <c r="Q18" s="54"/>
      <c r="R18" s="54"/>
      <c r="S18" s="57"/>
      <c r="T18" s="57"/>
      <c r="U18" s="57"/>
      <c r="V18" s="57"/>
      <c r="W18" s="57"/>
      <c r="X18" s="57"/>
      <c r="Y18" s="57"/>
      <c r="Z18" s="57"/>
      <c r="AA18" s="57"/>
    </row>
    <row r="19" spans="1:27" x14ac:dyDescent="0.2">
      <c r="A19" s="58"/>
      <c r="B19" s="94" t="s">
        <v>23</v>
      </c>
      <c r="C19" s="95" t="s">
        <v>98</v>
      </c>
      <c r="D19" s="94"/>
      <c r="E19" s="96">
        <f>VLOOKUP(C19,LegsStats,2, FALSE)</f>
        <v>0</v>
      </c>
      <c r="F19" s="96">
        <f>VLOOKUP(C19,LegsStats,3, FALSE)</f>
        <v>1</v>
      </c>
      <c r="G19" s="96">
        <f>VLOOKUP(C19,LegsStats,4, FALSE)</f>
        <v>33</v>
      </c>
      <c r="H19" s="97">
        <f>VLOOKUP(C19,LegsStats,5, FALSE)</f>
        <v>24</v>
      </c>
      <c r="I19" s="97">
        <f>VLOOKUP(C19,LegsStats,6, FALSE)</f>
        <v>21</v>
      </c>
      <c r="J19" s="96">
        <f>VLOOKUP(C19,LegsStats,7, FALSE)</f>
        <v>0</v>
      </c>
      <c r="K19" s="96">
        <f>VLOOKUP(C19,LegsStats,8, FALSE)</f>
        <v>0</v>
      </c>
      <c r="L19" s="96">
        <f>VLOOKUP(C19,LegsStats,9, FALSE)</f>
        <v>0</v>
      </c>
      <c r="M19" s="96">
        <f>VLOOKUP(C19,LegsStats,10, FALSE)</f>
        <v>6</v>
      </c>
      <c r="N19" s="96">
        <f>VLOOKUP(C19,LegsStats,11, FALSE)</f>
        <v>796</v>
      </c>
      <c r="O19" s="96"/>
      <c r="P19" s="96"/>
      <c r="Q19" s="96"/>
      <c r="R19" s="54"/>
      <c r="S19" s="57"/>
      <c r="T19" s="57"/>
      <c r="U19" s="57"/>
      <c r="V19" s="57"/>
      <c r="W19" s="57"/>
      <c r="X19" s="57"/>
      <c r="Y19" s="57"/>
      <c r="Z19" s="57"/>
      <c r="AA19" s="57"/>
    </row>
    <row r="20" spans="1:27" x14ac:dyDescent="0.2">
      <c r="A20" s="58"/>
      <c r="B20" s="89" t="s">
        <v>394</v>
      </c>
      <c r="C20" s="92" t="s">
        <v>525</v>
      </c>
      <c r="D20" s="77"/>
      <c r="E20" s="78"/>
      <c r="F20" s="78"/>
      <c r="G20" s="78">
        <f>VLOOKUP(C20,LegEnchantStats,2, FALSE)</f>
        <v>0</v>
      </c>
      <c r="H20" s="78">
        <f>VLOOKUP(C20,LegEnchantStats,3, FALSE)</f>
        <v>0</v>
      </c>
      <c r="I20" s="78">
        <f>VLOOKUP(C20,LegEnchantStats,4, FALSE)</f>
        <v>0</v>
      </c>
      <c r="J20" s="78"/>
      <c r="K20" s="78"/>
      <c r="L20" s="78"/>
      <c r="M20" s="78"/>
      <c r="N20" s="78"/>
      <c r="O20" s="78"/>
      <c r="P20" s="78"/>
      <c r="Q20" s="78"/>
      <c r="R20" s="78"/>
      <c r="S20" s="57"/>
      <c r="T20" s="57"/>
      <c r="U20" s="57"/>
      <c r="V20" s="57"/>
      <c r="W20" s="57"/>
      <c r="X20" s="57"/>
      <c r="Y20" s="57"/>
      <c r="Z20" s="57"/>
      <c r="AA20" s="57"/>
    </row>
    <row r="21" spans="1:27" x14ac:dyDescent="0.2">
      <c r="A21" s="58"/>
      <c r="B21" s="94" t="s">
        <v>24</v>
      </c>
      <c r="C21" s="95" t="s">
        <v>257</v>
      </c>
      <c r="D21" s="94"/>
      <c r="E21" s="96">
        <f>VLOOKUP(C21,FeetStats,2, FALSE)</f>
        <v>0</v>
      </c>
      <c r="F21" s="96">
        <f>VLOOKUP(C21,FeetStats,3, FALSE)</f>
        <v>1</v>
      </c>
      <c r="G21" s="96">
        <f>VLOOKUP(C21,FeetStats,4, FALSE)</f>
        <v>20</v>
      </c>
      <c r="H21" s="97">
        <f>VLOOKUP(C21,FeetStats,5, FALSE)</f>
        <v>22</v>
      </c>
      <c r="I21" s="97">
        <f>VLOOKUP(C21,FeetStats,6, FALSE)</f>
        <v>14</v>
      </c>
      <c r="J21" s="96">
        <f>VLOOKUP(C21,FeetStats,7, FALSE)</f>
        <v>0</v>
      </c>
      <c r="K21" s="96">
        <f>VLOOKUP(C21,FeetStats,8, FALSE)</f>
        <v>0</v>
      </c>
      <c r="L21" s="96">
        <f>VLOOKUP(C21,FeetStats,9, FALSE)</f>
        <v>0</v>
      </c>
      <c r="M21" s="96">
        <f>VLOOKUP(C21,FeetStats,10, FALSE)</f>
        <v>0</v>
      </c>
      <c r="N21" s="96">
        <f>VLOOKUP(C21,FeetStats,11, FALSE)</f>
        <v>581</v>
      </c>
      <c r="O21" s="96"/>
      <c r="P21" s="96"/>
      <c r="Q21" s="96"/>
      <c r="R21" s="54"/>
      <c r="S21" s="57"/>
      <c r="T21" s="57"/>
      <c r="U21" s="57"/>
      <c r="V21" s="57"/>
      <c r="W21" s="57"/>
      <c r="X21" s="57"/>
      <c r="Y21" s="57"/>
      <c r="Z21" s="57"/>
      <c r="AA21" s="57"/>
    </row>
    <row r="22" spans="1:27" x14ac:dyDescent="0.2">
      <c r="A22" s="58"/>
      <c r="B22" s="90" t="s">
        <v>394</v>
      </c>
      <c r="C22" s="91" t="s">
        <v>144</v>
      </c>
      <c r="D22" s="77"/>
      <c r="E22" s="54"/>
      <c r="F22" s="54"/>
      <c r="G22" s="54"/>
      <c r="H22" s="78">
        <f>VLOOKUP(C22,FeetEnchantStats,3, FALSE)</f>
        <v>0</v>
      </c>
      <c r="I22" s="78">
        <f>VLOOKUP(C22,FeetEnchantStats,4, FALSE)</f>
        <v>0</v>
      </c>
      <c r="J22" s="54"/>
      <c r="K22" s="54"/>
      <c r="L22" s="54"/>
      <c r="M22" s="54"/>
      <c r="N22" s="54"/>
      <c r="O22" s="54"/>
      <c r="P22" s="54"/>
      <c r="Q22" s="54"/>
      <c r="R22" s="54"/>
      <c r="S22" s="57"/>
      <c r="T22" s="57"/>
      <c r="U22" s="57"/>
      <c r="V22" s="57"/>
      <c r="W22" s="57"/>
      <c r="X22" s="57"/>
      <c r="Y22" s="57"/>
      <c r="Z22" s="57"/>
      <c r="AA22" s="57"/>
    </row>
    <row r="23" spans="1:27" x14ac:dyDescent="0.2">
      <c r="A23" s="58"/>
      <c r="B23" s="94" t="s">
        <v>26</v>
      </c>
      <c r="C23" s="95" t="s">
        <v>265</v>
      </c>
      <c r="D23" s="94"/>
      <c r="E23" s="96">
        <f>VLOOKUP(C23,RingStats,2, FALSE)</f>
        <v>0</v>
      </c>
      <c r="F23" s="96">
        <f>VLOOKUP(C23,RingStats,3, FALSE)</f>
        <v>1</v>
      </c>
      <c r="G23" s="96">
        <f>VLOOKUP(C23,RingStats,4, FALSE)</f>
        <v>0</v>
      </c>
      <c r="H23" s="97">
        <f>VLOOKUP(C23,RingStats,5, FALSE)</f>
        <v>14</v>
      </c>
      <c r="I23" s="97">
        <f>VLOOKUP(C23,RingStats,6, FALSE)</f>
        <v>0</v>
      </c>
      <c r="J23" s="96">
        <f>VLOOKUP(C23,RingStats,7, FALSE)</f>
        <v>48</v>
      </c>
      <c r="K23" s="96">
        <f>VLOOKUP(C23,RingStats,8, FALSE)</f>
        <v>0</v>
      </c>
      <c r="L23" s="96">
        <f>VLOOKUP(C23,RingStats,9, FALSE)</f>
        <v>0</v>
      </c>
      <c r="M23" s="96">
        <f>VLOOKUP(C23,RingStats,10, FALSE)</f>
        <v>0</v>
      </c>
      <c r="N23" s="96">
        <f>VLOOKUP(C23,RingStats,11, FALSE)</f>
        <v>0</v>
      </c>
      <c r="O23" s="96"/>
      <c r="P23" s="96"/>
      <c r="Q23" s="96"/>
      <c r="R23" s="54"/>
      <c r="S23" s="58"/>
      <c r="T23" s="58"/>
      <c r="U23" s="57"/>
      <c r="V23" s="57"/>
      <c r="W23" s="57"/>
      <c r="X23" s="57"/>
      <c r="Y23" s="57"/>
      <c r="Z23" s="57"/>
      <c r="AA23" s="57"/>
    </row>
    <row r="24" spans="1:27" x14ac:dyDescent="0.2">
      <c r="A24" s="58"/>
      <c r="B24" s="77" t="s">
        <v>26</v>
      </c>
      <c r="C24" s="82" t="s">
        <v>28</v>
      </c>
      <c r="D24" s="77"/>
      <c r="E24" s="54">
        <f>VLOOKUP(C24,RingStats,2, FALSE)</f>
        <v>1</v>
      </c>
      <c r="F24" s="54">
        <f>VLOOKUP(C24,RingStats,3, FALSE)</f>
        <v>0</v>
      </c>
      <c r="G24" s="54">
        <f>VLOOKUP(C24,RingStats,4, FALSE)</f>
        <v>5</v>
      </c>
      <c r="H24" s="78">
        <f>VLOOKUP(C24,RingStats,5, FALSE)</f>
        <v>8</v>
      </c>
      <c r="I24" s="78">
        <f>VLOOKUP(C24,RingStats,6, FALSE)</f>
        <v>0</v>
      </c>
      <c r="J24" s="54">
        <f>VLOOKUP(C24,RingStats,7, FALSE)</f>
        <v>30</v>
      </c>
      <c r="K24" s="54">
        <f>VLOOKUP(C24,RingStats,8, FALSE)</f>
        <v>0</v>
      </c>
      <c r="L24" s="54">
        <f>VLOOKUP(C24,RingStats,9, FALSE)</f>
        <v>0</v>
      </c>
      <c r="M24" s="54">
        <f>VLOOKUP(C24,RingStats,10, FALSE)</f>
        <v>0</v>
      </c>
      <c r="N24" s="54">
        <f>VLOOKUP(C24,RingStats,11, FALSE)</f>
        <v>0</v>
      </c>
      <c r="O24" s="54"/>
      <c r="P24" s="54"/>
      <c r="R24" s="93"/>
      <c r="S24" s="93"/>
      <c r="T24" s="93"/>
      <c r="U24" s="58"/>
      <c r="V24" s="57"/>
      <c r="W24" s="57"/>
      <c r="X24" s="57"/>
      <c r="Y24" s="57"/>
      <c r="Z24" s="57"/>
      <c r="AA24" s="57"/>
    </row>
    <row r="25" spans="1:27" x14ac:dyDescent="0.2">
      <c r="A25" s="58"/>
      <c r="B25" s="94" t="s">
        <v>29</v>
      </c>
      <c r="C25" s="95" t="s">
        <v>30</v>
      </c>
      <c r="D25" s="94"/>
      <c r="E25" s="96">
        <f>VLOOKUP(C25,TrinketStats,2, FALSE)</f>
        <v>0</v>
      </c>
      <c r="F25" s="96">
        <f>VLOOKUP(C25,TrinketStats,3, FALSE)</f>
        <v>2</v>
      </c>
      <c r="G25" s="96">
        <f>VLOOKUP(C25,TrinketStats,4, FALSE)</f>
        <v>0</v>
      </c>
      <c r="H25" s="97">
        <f>VLOOKUP(C25,TrinketStats,5, FALSE)</f>
        <v>0</v>
      </c>
      <c r="I25" s="97">
        <f>VLOOKUP(C25,TrinketStats,6, FALSE)</f>
        <v>0</v>
      </c>
      <c r="J25" s="96">
        <f>VLOOKUP(C25,TrinketStats,7, FALSE)</f>
        <v>56</v>
      </c>
      <c r="K25" s="96">
        <f>VLOOKUP(C25,TrinketStats,8, FALSE)</f>
        <v>1</v>
      </c>
      <c r="L25" s="96">
        <f>VLOOKUP(C25,TrinketStats,9, FALSE)</f>
        <v>0</v>
      </c>
      <c r="M25" s="96">
        <f>VLOOKUP(C25,TrinketStats,10, FALSE)</f>
        <v>0</v>
      </c>
      <c r="N25" s="96">
        <f>VLOOKUP(C25,TrinketStats,11, FALSE)</f>
        <v>0</v>
      </c>
      <c r="O25" s="96"/>
      <c r="P25" s="96"/>
      <c r="Q25" s="96">
        <f>VLOOKUP(C25,TrinketStats,12, FALSE)</f>
        <v>0</v>
      </c>
      <c r="R25" s="54"/>
      <c r="S25" s="54"/>
      <c r="T25" s="54"/>
      <c r="U25" s="58"/>
      <c r="V25" s="57"/>
      <c r="W25" s="57"/>
      <c r="X25" s="57"/>
      <c r="Y25" s="57"/>
      <c r="Z25" s="57"/>
      <c r="AA25" s="57"/>
    </row>
    <row r="26" spans="1:27" x14ac:dyDescent="0.2">
      <c r="A26" s="58"/>
      <c r="B26" s="54" t="s">
        <v>29</v>
      </c>
      <c r="C26" s="83" t="s">
        <v>534</v>
      </c>
      <c r="D26" s="77"/>
      <c r="E26" s="78">
        <f>VLOOKUP(C26,TrinketStats,2, FALSE)</f>
        <v>0</v>
      </c>
      <c r="F26" s="78">
        <f>VLOOKUP(C26,TrinketStats,3, FALSE)</f>
        <v>0</v>
      </c>
      <c r="G26" s="78">
        <f>VLOOKUP(C26,TrinketStats,4,FALSE)</f>
        <v>75</v>
      </c>
      <c r="H26" s="78">
        <f>VLOOKUP(C26,TrinketStats,5, FALSE)</f>
        <v>0</v>
      </c>
      <c r="I26" s="78">
        <f>VLOOKUP(C26,TrinketStats,6, FALSE)</f>
        <v>0</v>
      </c>
      <c r="J26" s="78">
        <f>VLOOKUP(C26,TrinketStats,7, FALSE)</f>
        <v>0</v>
      </c>
      <c r="K26" s="78">
        <f>VLOOKUP(C26,TrinketStats,8, FALSE)</f>
        <v>0</v>
      </c>
      <c r="L26" s="78">
        <f>VLOOKUP(C26,TrinketStats,9, FALSE)</f>
        <v>0</v>
      </c>
      <c r="M26" s="78">
        <f>VLOOKUP(C26,TrinketStats,10, FALSE)</f>
        <v>0</v>
      </c>
      <c r="N26" s="78">
        <f>VLOOKUP(C26,TrinketStats,11, FALSE)</f>
        <v>0</v>
      </c>
      <c r="O26" s="78"/>
      <c r="P26" s="78"/>
      <c r="Q26" s="78">
        <f>VLOOKUP(C26,TrinketStats,12, FALSE)</f>
        <v>0</v>
      </c>
      <c r="R26" s="58"/>
      <c r="S26" s="58"/>
      <c r="T26" s="58"/>
      <c r="U26" s="58"/>
      <c r="V26" s="57"/>
      <c r="W26" s="57"/>
      <c r="X26" s="57"/>
      <c r="Y26" s="57"/>
      <c r="Z26" s="57"/>
      <c r="AA26" s="57"/>
    </row>
    <row r="27" spans="1:27" x14ac:dyDescent="0.2">
      <c r="A27" s="58"/>
      <c r="B27" s="94" t="s">
        <v>32</v>
      </c>
      <c r="C27" s="95" t="s">
        <v>340</v>
      </c>
      <c r="D27" s="94" t="str">
        <f>VLOOKUP(C27,DWWeaponStats,18, FALSE)</f>
        <v>Sword</v>
      </c>
      <c r="E27" s="96">
        <f>VLOOKUP(C27,DWWeaponStats,2, FALSE)</f>
        <v>0</v>
      </c>
      <c r="F27" s="96">
        <f>VLOOKUP(C27,DWWeaponStats,3, FALSE)</f>
        <v>0</v>
      </c>
      <c r="G27" s="96">
        <f>VLOOKUP(C27,DWWeaponStats,4, FALSE)</f>
        <v>0</v>
      </c>
      <c r="H27" s="97">
        <f>VLOOKUP(C27,DWWeaponStats,5, FALSE)</f>
        <v>8</v>
      </c>
      <c r="I27" s="97">
        <f>VLOOKUP(C27,DWWeaponStats,6, FALSE)</f>
        <v>5</v>
      </c>
      <c r="J27" s="96">
        <f>VLOOKUP(C27,DWWeaponStats,7, FALSE)</f>
        <v>0</v>
      </c>
      <c r="K27" s="96">
        <f>VLOOKUP(C27,DWWeaponStats,8, FALSE)</f>
        <v>0</v>
      </c>
      <c r="L27" s="96">
        <f>VLOOKUP(C27,DWWeaponStats,9, FALSE)</f>
        <v>0</v>
      </c>
      <c r="M27" s="96">
        <f>VLOOKUP(C27,DWWeaponStats,10, FALSE)</f>
        <v>0</v>
      </c>
      <c r="N27" s="96">
        <f>VLOOKUP(C27,DWWeaponStats,11, FALSE)</f>
        <v>0</v>
      </c>
      <c r="O27" s="96">
        <f>VLOOKUP(C27,DWWeaponStats,12, FALSE)</f>
        <v>0</v>
      </c>
      <c r="P27" s="96">
        <f>IF(D27=D29,VLOOKUP(C27,DWWeaponStats,12, FALSE),0)</f>
        <v>0</v>
      </c>
      <c r="Q27" s="96">
        <f ca="1">VLOOKUP(C27,DWWeaponStats,16, FALSE)</f>
        <v>49.107218755274452</v>
      </c>
      <c r="R27" s="58"/>
      <c r="S27" s="58"/>
      <c r="T27" s="54"/>
      <c r="U27" s="58"/>
      <c r="V27" s="57"/>
      <c r="W27" s="57"/>
      <c r="X27" s="57"/>
      <c r="Y27" s="57"/>
      <c r="Z27" s="57"/>
      <c r="AA27" s="57"/>
    </row>
    <row r="28" spans="1:27" x14ac:dyDescent="0.2">
      <c r="A28" s="58"/>
      <c r="B28" s="90" t="s">
        <v>394</v>
      </c>
      <c r="C28" s="91" t="s">
        <v>146</v>
      </c>
      <c r="D28" s="77"/>
      <c r="E28" s="54"/>
      <c r="F28" s="54"/>
      <c r="G28" s="54">
        <f ca="1">VLOOKUP(C28,MHWeaponEnchantStats,2, FALSE)*IF(BaseMHSpeed=0,0,1)</f>
        <v>31.794360461321979</v>
      </c>
      <c r="H28" s="78"/>
      <c r="I28" s="78">
        <f>VLOOKUP(C28,MHWeaponEnchantStats,4, FALSE)</f>
        <v>0</v>
      </c>
      <c r="J28" s="54"/>
      <c r="K28" s="54"/>
      <c r="L28" s="54"/>
      <c r="M28" s="54"/>
      <c r="N28" s="54"/>
      <c r="O28" s="54"/>
      <c r="P28" s="54"/>
      <c r="Q28" s="54">
        <f>VLOOKUP(C28,MHWeaponEnchantStats,8, FALSE)</f>
        <v>0</v>
      </c>
      <c r="R28" s="54"/>
      <c r="S28" s="54"/>
      <c r="T28" s="54"/>
      <c r="U28" s="58"/>
      <c r="V28" s="57"/>
      <c r="W28" s="57"/>
      <c r="X28" s="57"/>
      <c r="Y28" s="57"/>
      <c r="Z28" s="57"/>
      <c r="AA28" s="57"/>
    </row>
    <row r="29" spans="1:27" x14ac:dyDescent="0.2">
      <c r="A29" s="58"/>
      <c r="B29" s="94" t="s">
        <v>33</v>
      </c>
      <c r="C29" s="95" t="s">
        <v>344</v>
      </c>
      <c r="D29" s="94" t="str">
        <f>VLOOKUP(C29,DWWeaponStats,18, FALSE)</f>
        <v>Sword</v>
      </c>
      <c r="E29" s="96">
        <f>VLOOKUP(C29,DWWeaponStats,2, FALSE)</f>
        <v>0</v>
      </c>
      <c r="F29" s="96">
        <f>VLOOKUP(C29,DWWeaponStats,3, FALSE)</f>
        <v>0</v>
      </c>
      <c r="G29" s="96">
        <f>VLOOKUP(C29,DWWeaponStats,4, FALSE)</f>
        <v>0</v>
      </c>
      <c r="H29" s="97">
        <f>VLOOKUP(C29,DWWeaponStats,5, FALSE)</f>
        <v>0</v>
      </c>
      <c r="I29" s="97">
        <f>VLOOKUP(C29,DWWeaponStats,6, FALSE)</f>
        <v>0</v>
      </c>
      <c r="J29" s="96">
        <f>VLOOKUP(C29,DWWeaponStats,7, FALSE)</f>
        <v>0</v>
      </c>
      <c r="K29" s="96">
        <f>VLOOKUP(C29,DWWeaponStats,8, FALSE)</f>
        <v>0</v>
      </c>
      <c r="L29" s="96">
        <f>VLOOKUP(C29,DWWeaponStats,9, FALSE)</f>
        <v>1</v>
      </c>
      <c r="M29" s="96">
        <f>VLOOKUP(C29,DWWeaponStats,10, FALSE)</f>
        <v>0</v>
      </c>
      <c r="N29" s="96">
        <f>VLOOKUP(C29,DWWeaponStats,11, FALSE)</f>
        <v>0</v>
      </c>
      <c r="O29" s="96">
        <f>IF(D27=D29,VLOOKUP(C29,DWWeaponStats,12, FALSE),0)</f>
        <v>4</v>
      </c>
      <c r="P29" s="96">
        <f>VLOOKUP(C29,DWWeaponStats,12, FALSE)</f>
        <v>4</v>
      </c>
      <c r="Q29" s="96">
        <f>VLOOKUP(C29,DWWeaponStats,17, FALSE)</f>
        <v>0</v>
      </c>
      <c r="R29" s="58"/>
      <c r="S29" s="58"/>
      <c r="T29" s="54"/>
      <c r="U29" s="58"/>
      <c r="V29" s="57"/>
      <c r="W29" s="57"/>
      <c r="X29" s="57"/>
      <c r="Y29" s="57"/>
      <c r="Z29" s="57"/>
      <c r="AA29" s="57"/>
    </row>
    <row r="30" spans="1:27" x14ac:dyDescent="0.2">
      <c r="A30" s="58"/>
      <c r="B30" s="90" t="s">
        <v>394</v>
      </c>
      <c r="C30" s="91" t="s">
        <v>146</v>
      </c>
      <c r="D30" s="77"/>
      <c r="E30" s="54"/>
      <c r="F30" s="54"/>
      <c r="G30" s="54">
        <f ca="1">VLOOKUP(C30,OHWeaponEnchantStats,2, FALSE)</f>
        <v>21.609426007394504</v>
      </c>
      <c r="H30" s="78"/>
      <c r="I30" s="78">
        <f>VLOOKUP(C30,OHWeaponEnchantStats,4, FALSE)</f>
        <v>0</v>
      </c>
      <c r="J30" s="54"/>
      <c r="K30" s="54"/>
      <c r="L30" s="54"/>
      <c r="M30" s="54"/>
      <c r="N30" s="54"/>
      <c r="O30" s="54"/>
      <c r="P30" s="54"/>
      <c r="Q30" s="54">
        <f>VLOOKUP(C30,OHWeaponEnchantStats,8, FALSE)</f>
        <v>0</v>
      </c>
      <c r="R30" s="54"/>
      <c r="S30" s="54"/>
      <c r="T30" s="54"/>
      <c r="U30" s="58"/>
      <c r="V30" s="57"/>
      <c r="W30" s="57"/>
      <c r="X30" s="57"/>
      <c r="Y30" s="57"/>
      <c r="Z30" s="57"/>
      <c r="AA30" s="57"/>
    </row>
    <row r="31" spans="1:27" x14ac:dyDescent="0.2">
      <c r="A31" s="58"/>
      <c r="B31" s="94" t="s">
        <v>412</v>
      </c>
      <c r="C31" s="95" t="s">
        <v>1026</v>
      </c>
      <c r="D31" s="94">
        <f>VLOOKUP(C31,THWeaponStats,17, FALSE)</f>
        <v>0</v>
      </c>
      <c r="E31" s="96">
        <f>VLOOKUP(C31,THWeaponStats,2, FALSE)</f>
        <v>0</v>
      </c>
      <c r="F31" s="96">
        <f>VLOOKUP(C31,THWeaponStats,3, FALSE)</f>
        <v>0</v>
      </c>
      <c r="G31" s="96">
        <f>VLOOKUP(C31,THWeaponStats,4, FALSE)</f>
        <v>0</v>
      </c>
      <c r="H31" s="97">
        <f>VLOOKUP(C31,THWeaponStats,5, FALSE)</f>
        <v>0</v>
      </c>
      <c r="I31" s="97">
        <f>VLOOKUP(C31,THWeaponStats,6, FALSE)</f>
        <v>0</v>
      </c>
      <c r="J31" s="96">
        <f>VLOOKUP(C31,THWeaponStats,7, FALSE)</f>
        <v>0</v>
      </c>
      <c r="K31" s="96">
        <f>VLOOKUP(C31,THWeaponStats,8, FALSE)</f>
        <v>0</v>
      </c>
      <c r="L31" s="96">
        <f>VLOOKUP(C31,THWeaponStats,9, FALSE)</f>
        <v>0</v>
      </c>
      <c r="M31" s="96">
        <f>VLOOKUP(C31,THWeaponStats,10, FALSE)</f>
        <v>0</v>
      </c>
      <c r="N31" s="96">
        <f>VLOOKUP(C31,THWeaponStats,11, FALSE)</f>
        <v>0</v>
      </c>
      <c r="O31" s="96">
        <f>VLOOKUP(C31,THWeaponStats,12, FALSE)</f>
        <v>0</v>
      </c>
      <c r="P31" s="96"/>
      <c r="Q31" s="96">
        <f>VLOOKUP(C31,THWeaponStats,16, FALSE)</f>
        <v>0</v>
      </c>
      <c r="R31" s="58"/>
      <c r="S31" s="58"/>
      <c r="T31" s="54"/>
      <c r="U31" s="58"/>
      <c r="V31" s="57"/>
      <c r="W31" s="57"/>
      <c r="X31" s="57"/>
      <c r="Y31" s="57"/>
      <c r="Z31" s="57"/>
      <c r="AA31" s="57"/>
    </row>
    <row r="32" spans="1:27" x14ac:dyDescent="0.2">
      <c r="A32" s="58"/>
      <c r="B32" s="89" t="s">
        <v>394</v>
      </c>
      <c r="C32" s="92" t="s">
        <v>146</v>
      </c>
      <c r="D32" s="77"/>
      <c r="E32" s="78"/>
      <c r="F32" s="78"/>
      <c r="G32" s="78">
        <f ca="1">VLOOKUP(C32,MHWeaponEnchantStats,2, FALSE)*IF(Base2HSpeed=0,0,1)</f>
        <v>0</v>
      </c>
      <c r="H32" s="78"/>
      <c r="I32" s="78">
        <f>VLOOKUP(C32,MHWeaponEnchantStats,4, FALSE)</f>
        <v>0</v>
      </c>
      <c r="J32" s="78"/>
      <c r="K32" s="78"/>
      <c r="L32" s="78"/>
      <c r="M32" s="78"/>
      <c r="N32" s="78"/>
      <c r="O32" s="78"/>
      <c r="P32" s="78"/>
      <c r="Q32" s="78">
        <f>VLOOKUP(C32,MHWeaponEnchantStats,8, FALSE)</f>
        <v>0</v>
      </c>
      <c r="R32" s="78"/>
      <c r="S32" s="78"/>
      <c r="T32" s="78"/>
      <c r="U32" s="58"/>
      <c r="V32" s="57"/>
      <c r="W32" s="57"/>
      <c r="X32" s="57"/>
      <c r="Y32" s="57"/>
      <c r="Z32" s="57"/>
      <c r="AA32" s="57"/>
    </row>
    <row r="33" spans="1:27" x14ac:dyDescent="0.2">
      <c r="A33" s="58"/>
      <c r="B33" s="94" t="s">
        <v>35</v>
      </c>
      <c r="C33" s="95" t="s">
        <v>375</v>
      </c>
      <c r="D33" s="94"/>
      <c r="E33" s="96">
        <f>VLOOKUP(C33,RangedStats,2, FALSE)</f>
        <v>0</v>
      </c>
      <c r="F33" s="96">
        <f>VLOOKUP(C33,RangedStats,3,FALSE)</f>
        <v>1</v>
      </c>
      <c r="G33" s="96">
        <f>VLOOKUP(C33,RangedStats,4, FALSE)</f>
        <v>5</v>
      </c>
      <c r="H33" s="97">
        <f>VLOOKUP(C33,RangedStats,5, FALSE)</f>
        <v>5</v>
      </c>
      <c r="I33" s="97">
        <f>VLOOKUP(C33,RangedStats,6, FALSE)</f>
        <v>7</v>
      </c>
      <c r="J33" s="96">
        <f>VLOOKUP(C33,RangedStats,7, FALSE)</f>
        <v>0</v>
      </c>
      <c r="K33" s="96">
        <f>VLOOKUP(C33,RangedStats,8, FALSE)</f>
        <v>0</v>
      </c>
      <c r="L33" s="96">
        <f>VLOOKUP(C33,RangedStats,9, FALSE)</f>
        <v>0</v>
      </c>
      <c r="M33" s="96">
        <f>VLOOKUP(C33,RangedStats,10, FALSE)</f>
        <v>0</v>
      </c>
      <c r="N33" s="96">
        <f>VLOOKUP(C33,RangedStats,11, FALSE)</f>
        <v>0</v>
      </c>
      <c r="O33" s="96"/>
      <c r="P33" s="96"/>
      <c r="Q33" s="96"/>
      <c r="R33" s="54"/>
      <c r="S33" s="54"/>
      <c r="T33" s="54"/>
      <c r="U33" s="58"/>
      <c r="V33" s="57"/>
      <c r="W33" s="57"/>
      <c r="X33" s="57"/>
      <c r="Y33" s="57"/>
      <c r="Z33" s="57"/>
      <c r="AA33" s="57"/>
    </row>
    <row r="34" spans="1:27" x14ac:dyDescent="0.2">
      <c r="A34" s="58"/>
      <c r="B34" s="77" t="s">
        <v>124</v>
      </c>
      <c r="C34" s="82" t="s">
        <v>117</v>
      </c>
      <c r="D34" s="77">
        <f>VLOOKUP(C34,StartingStatsList,7, FALSE)</f>
        <v>0</v>
      </c>
      <c r="E34" s="54"/>
      <c r="F34" s="54"/>
      <c r="G34" s="54">
        <f>VLOOKUP(C34,StartingStatsList,2, FALSE)</f>
        <v>125</v>
      </c>
      <c r="H34" s="78">
        <f>VLOOKUP(C34,StartingStatsList,3, FALSE)</f>
        <v>112</v>
      </c>
      <c r="I34" s="78">
        <f>VLOOKUP(C34,StartingStatsList,4, FALSE)</f>
        <v>75</v>
      </c>
      <c r="J34" s="54">
        <f>VLOOKUP(C34,StartingStatsList,5, FALSE)</f>
        <v>160</v>
      </c>
      <c r="K34" s="54"/>
      <c r="L34" s="54"/>
      <c r="M34" s="54"/>
      <c r="N34" s="54"/>
      <c r="O34" s="54">
        <f>IF(D34=D27,VLOOKUP(C34,StartingStatsList,6, FALSE),0)+IF(AND(D34="2H Axe",D31="2H Axe"),5,0)+IF(D34="Varied",IF(D27="Sword",5,IF(D27="Mace",5,0)),0)+IF(D34="2H Varied",IF(D31="2H Sword",5,IF(D31="2H Mace",5,0)),0)</f>
        <v>0</v>
      </c>
      <c r="P34" s="54">
        <f>IF(D34=D29,VLOOKUP(C34,StartingStatsList,6, FALSE),0)+IF(D34="Varied",IF(D29="Sword",5,IF(D29="Mace",5,0)),0)+IF(D34="2H Varied",IF(D29="2H Sword",5,IF(D29="2H Mace",5,0)),0)</f>
        <v>0</v>
      </c>
      <c r="Q34" s="54"/>
      <c r="R34" s="54"/>
      <c r="S34" s="54"/>
      <c r="T34" s="54"/>
      <c r="U34" s="58"/>
      <c r="V34" s="57"/>
      <c r="W34" s="57"/>
      <c r="X34" s="57"/>
      <c r="Y34" s="57"/>
      <c r="Z34" s="57"/>
      <c r="AA34" s="57"/>
    </row>
    <row r="35" spans="1:27" x14ac:dyDescent="0.2">
      <c r="A35" s="58"/>
      <c r="B35" s="100" t="s">
        <v>616</v>
      </c>
      <c r="C35" s="110" t="b">
        <v>0</v>
      </c>
      <c r="D35" s="101"/>
      <c r="E35" s="134">
        <v>0</v>
      </c>
      <c r="F35" s="134">
        <v>0</v>
      </c>
      <c r="G35" s="134">
        <v>0</v>
      </c>
      <c r="H35" s="135">
        <v>0</v>
      </c>
      <c r="I35" s="135">
        <v>0</v>
      </c>
      <c r="J35" s="134">
        <v>0</v>
      </c>
      <c r="K35" s="134">
        <v>0</v>
      </c>
      <c r="L35" s="134">
        <v>0</v>
      </c>
      <c r="M35" s="134">
        <v>0</v>
      </c>
      <c r="N35" s="134">
        <v>0</v>
      </c>
      <c r="O35" s="134">
        <v>0</v>
      </c>
      <c r="P35" s="134">
        <v>0</v>
      </c>
      <c r="Q35" s="101"/>
      <c r="R35" s="54"/>
      <c r="S35" s="54"/>
      <c r="T35" s="54"/>
      <c r="U35" s="58"/>
      <c r="V35" s="57"/>
      <c r="W35" s="57"/>
      <c r="X35" s="57"/>
      <c r="Y35" s="57"/>
      <c r="Z35" s="57"/>
      <c r="AA35" s="57"/>
    </row>
    <row r="36" spans="1:27" x14ac:dyDescent="0.2">
      <c r="A36" s="57"/>
      <c r="B36" s="54" t="s">
        <v>49</v>
      </c>
      <c r="C36" s="54"/>
      <c r="D36" s="54"/>
      <c r="E36" s="54">
        <f>SUM(E5:E34)+IF(COUNTIF(C5:C21,"Black Dragonscale*")&gt;=3,2,0)+IF(COUNTIF(C5:C21,"Arathi*")&gt;2,1,0)+E35*C35</f>
        <v>3</v>
      </c>
      <c r="F36" s="54">
        <f>SUM(F5:F34)+IF(COUNTIF(C5:C21,"Black Dragonscale*")&gt;=2,1,0)+IF(COUNTIF(C5:C21,"Devilsaur *")&gt;1,2,0)+F35*C35</f>
        <v>10</v>
      </c>
      <c r="G36" s="54">
        <f ca="1">(SUM(G5:G34)+IF(E75=TRUE,88,70)*C72+20*E60+MightyRagePot+16*C63+30*E62+10*E59+25*E61+25*E68+15*C57+G35*C35)*(1+0.1*C67)*(1+0.15*C56)</f>
        <v>712.31435443902387</v>
      </c>
      <c r="H36" s="54">
        <f>(SUM(H5:H34)+16*C63+70*C64+15*C57+H35*C35)*(1+0.1*C67)*(1+0.15*C56)</f>
        <v>529</v>
      </c>
      <c r="I36" s="54">
        <f>(SUM(I5:I34)+IF(E74=TRUE,88,77)*C71+16*C63+25*E65+25*E66+10*E58+25*E67+15*C57+I35*C35)*(1+0.1*C67+0.15*C56)</f>
        <v>304.75</v>
      </c>
      <c r="J36" s="54">
        <f>SUM(J5:J34)+IF(COUNTIF(C23:C24,"*of Jin")&gt;1,30,0)+IF(COUNTIF(C5:C21,"R12*")+COUNTIF(C5:C21,"R13*")&gt;5,40,0)+IF(Patch&gt;=9,IF(COUNTIF(C5:C21,"R7*")+COUNTIF(C5:C21,"R8*")+COUNTIF(C5:C21,"R10*")&gt;1,40,0),0)+IF(COUNTIF(C27:C29,"Dal'Rend*")&gt;1,50,0)+IF(COUNTIF(C5:C21,"*of Valor")&gt;3,40,0)+J35*C35</f>
        <v>324</v>
      </c>
      <c r="K36" s="54">
        <f>SUM(K5:K34)+K35*C35</f>
        <v>2</v>
      </c>
      <c r="L36" s="54">
        <f>SUM(L5:L34)+L35*C35+IF(Patch&lt;9,IF(COUNTIF(C5:C21,"R7*")+COUNTIF(C5:C21,"R8*")+COUNTIF(C5:C21,"R10*")&gt;1,1,0),0)</f>
        <v>1</v>
      </c>
      <c r="M36" s="54">
        <f>SUM(M5:M34)+M35*C35+M65*2</f>
        <v>23</v>
      </c>
      <c r="N36" s="54">
        <f>(SUM(N5:N34)+N35*C35)*(1+Toughness*0.02)</f>
        <v>5124</v>
      </c>
      <c r="O36" s="54">
        <f>SUM(O5:O34)+O35*C35+IF(COUNTIF(C27:C29,"Warblade of the Hakkari*")&gt;1,6,0)</f>
        <v>4</v>
      </c>
      <c r="P36" s="54">
        <f>SUM(P5:P34)+P35*C35+IF(COUNTIF(C27:C29,"Warblade of the Hakkari*")&gt;1,6,0)</f>
        <v>4</v>
      </c>
      <c r="Q36" s="73"/>
      <c r="R36" s="73"/>
      <c r="S36" s="73"/>
      <c r="T36" s="73"/>
      <c r="U36" s="57"/>
      <c r="V36" s="57"/>
      <c r="W36" s="57"/>
      <c r="X36" s="57"/>
      <c r="Y36" s="57"/>
      <c r="Z36" s="57"/>
      <c r="AA36" s="57"/>
    </row>
    <row r="37" spans="1:27" ht="11.25" customHeight="1" x14ac:dyDescent="0.2">
      <c r="A37" s="57"/>
      <c r="B37" s="57"/>
      <c r="C37" s="58"/>
      <c r="D37" s="57"/>
      <c r="E37" s="57"/>
      <c r="F37" s="57"/>
      <c r="G37" s="57"/>
      <c r="H37" s="57"/>
      <c r="I37" s="57"/>
      <c r="J37" s="57"/>
      <c r="K37" s="57"/>
      <c r="L37" s="57"/>
      <c r="M37" s="57"/>
      <c r="N37" s="57"/>
      <c r="O37" s="57"/>
      <c r="P37" s="57"/>
      <c r="Q37" s="57"/>
      <c r="R37" s="57"/>
      <c r="S37" s="57"/>
      <c r="T37" s="57"/>
      <c r="U37" s="57"/>
      <c r="V37" s="57"/>
      <c r="W37" s="57"/>
      <c r="X37" s="57"/>
      <c r="Y37" s="57"/>
      <c r="Z37" s="57"/>
      <c r="AA37" s="57"/>
    </row>
    <row r="38" spans="1:27" ht="11.25" customHeight="1" x14ac:dyDescent="0.2">
      <c r="A38" s="57"/>
      <c r="B38" s="162" t="s">
        <v>1061</v>
      </c>
      <c r="C38" s="169"/>
      <c r="D38" s="169"/>
      <c r="E38" s="169"/>
      <c r="F38" s="169"/>
      <c r="G38" s="57"/>
      <c r="H38" s="162" t="s">
        <v>1079</v>
      </c>
      <c r="I38" s="162"/>
      <c r="J38" s="162"/>
      <c r="K38" s="162"/>
      <c r="L38" s="162"/>
      <c r="M38" s="162"/>
      <c r="N38" s="57"/>
      <c r="O38" s="161" t="s">
        <v>1057</v>
      </c>
      <c r="P38" s="161"/>
      <c r="Q38" s="161"/>
      <c r="R38" s="57"/>
      <c r="S38" s="57"/>
      <c r="T38" s="57"/>
      <c r="U38" s="57"/>
      <c r="V38" s="57"/>
      <c r="W38" s="57"/>
      <c r="X38" s="57"/>
      <c r="Y38" s="57"/>
      <c r="Z38" s="57"/>
      <c r="AA38" s="57"/>
    </row>
    <row r="39" spans="1:27" ht="11.25" customHeight="1" x14ac:dyDescent="0.2">
      <c r="A39" s="57"/>
      <c r="B39" s="169"/>
      <c r="C39" s="169"/>
      <c r="D39" s="169"/>
      <c r="E39" s="169"/>
      <c r="F39" s="169"/>
      <c r="G39" s="57"/>
      <c r="H39" s="162"/>
      <c r="I39" s="162"/>
      <c r="J39" s="162"/>
      <c r="K39" s="162"/>
      <c r="L39" s="162"/>
      <c r="M39" s="162"/>
      <c r="N39" s="57"/>
      <c r="O39" s="161"/>
      <c r="P39" s="161"/>
      <c r="Q39" s="161"/>
      <c r="R39" s="57"/>
      <c r="S39" s="57"/>
      <c r="T39" s="57"/>
      <c r="U39" s="57"/>
      <c r="V39" s="57"/>
      <c r="W39" s="57"/>
      <c r="X39" s="57"/>
      <c r="Y39" s="57"/>
      <c r="Z39" s="57"/>
      <c r="AA39" s="57"/>
    </row>
    <row r="40" spans="1:27" ht="11.25" customHeight="1" x14ac:dyDescent="0.2">
      <c r="A40" s="57"/>
      <c r="B40" s="60"/>
      <c r="C40" s="56" t="s">
        <v>9</v>
      </c>
      <c r="F40" s="57"/>
      <c r="G40" s="57"/>
      <c r="H40" s="75" t="s">
        <v>866</v>
      </c>
      <c r="I40" s="56" t="s">
        <v>66</v>
      </c>
      <c r="J40" s="56" t="s">
        <v>9</v>
      </c>
      <c r="K40" s="56" t="s">
        <v>67</v>
      </c>
      <c r="L40" s="53" t="s">
        <v>881</v>
      </c>
      <c r="M40" s="74" t="s">
        <v>1059</v>
      </c>
      <c r="N40" s="57"/>
      <c r="P40" s="112" t="s">
        <v>1081</v>
      </c>
      <c r="Q40" s="112" t="s">
        <v>1082</v>
      </c>
      <c r="R40" s="57"/>
      <c r="S40" s="57"/>
      <c r="T40" s="57"/>
      <c r="U40" s="57"/>
      <c r="V40" s="57"/>
      <c r="W40" s="57"/>
      <c r="X40" s="57"/>
      <c r="Y40" s="57"/>
      <c r="Z40" s="57"/>
      <c r="AA40" s="57"/>
    </row>
    <row r="41" spans="1:27" ht="11.25" customHeight="1" x14ac:dyDescent="0.2">
      <c r="A41" s="57"/>
      <c r="B41" s="55" t="s">
        <v>49</v>
      </c>
      <c r="C41" s="104">
        <f ca="1">C42*0.85+C43*0.15</f>
        <v>1015.2091966460988</v>
      </c>
      <c r="D41" s="61" t="s">
        <v>664</v>
      </c>
      <c r="E41" s="107">
        <f>100-WhiteMisses-WhiteGlancingBlows-WhiteDodges</f>
        <v>38.159999999999997</v>
      </c>
      <c r="F41" s="57"/>
      <c r="G41" s="57"/>
      <c r="H41" s="102" t="s">
        <v>69</v>
      </c>
      <c r="I41" s="103">
        <f ca="1">IF(K41&gt;0,J41/K41,0)</f>
        <v>50.278381793504884</v>
      </c>
      <c r="J41" s="103">
        <f ca="1">NetAP*0.45*BTHitMod/BTCD*M41</f>
        <v>251.39191151272539</v>
      </c>
      <c r="K41" s="103">
        <f>30/BTCD*M41</f>
        <v>5</v>
      </c>
      <c r="L41" s="103">
        <v>6</v>
      </c>
      <c r="M41" s="111" t="b">
        <v>1</v>
      </c>
      <c r="N41" s="57"/>
      <c r="O41" s="60" t="s">
        <v>1088</v>
      </c>
      <c r="P41" s="57">
        <f>E36+I36/20+I75+Cruelty+2*E66+2*E56+3*C62+O36*0.04+C61*3+5*C55+50*K56+5*C57+IF(Realm="Kronos",2*F56,0)</f>
        <v>38.397500000000001</v>
      </c>
      <c r="Q41" s="65">
        <f>E36+I36/20+I75+Cruelty+2*E66+2*F56+3*C62+P36*0.04+C61*3+5*C55+50*K56+5*C57+IF(Realm="Kronos",2*E56,0)</f>
        <v>38.397500000000001</v>
      </c>
      <c r="R41" s="57"/>
      <c r="S41" s="57"/>
      <c r="T41" s="57"/>
      <c r="U41" s="57"/>
      <c r="V41" s="57"/>
      <c r="W41" s="57"/>
      <c r="X41" s="57"/>
      <c r="Y41" s="57"/>
      <c r="Z41" s="57"/>
      <c r="AA41" s="57"/>
    </row>
    <row r="42" spans="1:27" ht="11.25" customHeight="1" x14ac:dyDescent="0.2">
      <c r="A42" s="57"/>
      <c r="B42" s="55" t="s">
        <v>863</v>
      </c>
      <c r="C42" s="105">
        <f ca="1">MHWeaponProcDPS+OHWeaponProcDPS+THWeaponProcDPS+IF(C25&lt;&gt;"Hand of Justice",Trinket1DPS,0)+IF(C26&lt;&gt;"Hand of Justice",Trinket2DPS,0)+THEnchantDPS+OHEnchantDPS+MHEnchantDPS+WhiteDPS+J41+J42+J43+J44+J45+J46+J47+J48</f>
        <v>969.85774941399427</v>
      </c>
      <c r="D42" s="62" t="s">
        <v>880</v>
      </c>
      <c r="E42" s="108">
        <f>IF(NetCrit-CritCap&lt;0,0,NetCrit-CritCap)</f>
        <v>0.23750000000000426</v>
      </c>
      <c r="F42" s="57"/>
      <c r="G42" s="57"/>
      <c r="H42" s="75" t="s">
        <v>55</v>
      </c>
      <c r="I42" s="58">
        <f>IF(K42&gt;0,J42/K42,0)</f>
        <v>0</v>
      </c>
      <c r="J42" s="58">
        <f ca="1">((BaseDamage+NetAP/14*Normalize+160)*YellowHitMod)/MSCD*M42</f>
        <v>0</v>
      </c>
      <c r="K42" s="58">
        <f>30/MSCD*M42</f>
        <v>0</v>
      </c>
      <c r="L42" s="58">
        <v>6</v>
      </c>
      <c r="M42" s="76" t="b">
        <v>0</v>
      </c>
      <c r="N42" s="57"/>
      <c r="O42" s="60" t="s">
        <v>1089</v>
      </c>
      <c r="P42" s="57">
        <f>F36</f>
        <v>10</v>
      </c>
      <c r="Q42" s="57">
        <f>F36</f>
        <v>10</v>
      </c>
      <c r="R42" s="57"/>
      <c r="S42" s="57"/>
      <c r="T42" s="57"/>
      <c r="U42" s="57"/>
      <c r="V42" s="57"/>
      <c r="W42" s="57"/>
      <c r="X42" s="57"/>
      <c r="Y42" s="57"/>
      <c r="Z42" s="57"/>
      <c r="AA42" s="57"/>
    </row>
    <row r="43" spans="1:27" ht="11.25" customHeight="1" x14ac:dyDescent="0.2">
      <c r="A43" s="57"/>
      <c r="B43" s="55" t="s">
        <v>864</v>
      </c>
      <c r="C43" s="106">
        <f ca="1">MHWeaponProcDPS20+OHWeaponProcDPS20+THWeaponProcDPS20+IF(C25&lt;&gt;"Hand of Justice",Trinket1DPS20,0)+IF(C26&lt;&gt;"Hand of Justice",Trinket2DPS20,0)+THEnchantDPS20+OHEnchantDPS20+MHEnchantDPS20+WhiteDPS20+J49</f>
        <v>1272.200995645368</v>
      </c>
      <c r="D43" s="62" t="s">
        <v>879</v>
      </c>
      <c r="E43" s="109">
        <f>IF(NetOHCrit-CritCap&lt;0,0,NetOHCrit-CritCap)</f>
        <v>0.23750000000000426</v>
      </c>
      <c r="F43" s="57"/>
      <c r="G43" s="57"/>
      <c r="H43" s="102" t="s">
        <v>71</v>
      </c>
      <c r="I43" s="103">
        <f ca="1">IF(K43&gt;0,(J43-(BaseDamage+NetAP/14*BaseSpeed)*WhiteHitMod*(1.5-0.1*ImpSlam)/SlamCD)/K43,0)</f>
        <v>0</v>
      </c>
      <c r="J43" s="103">
        <f ca="1">((BaseDamage+NetAP*BaseSpeed/14+87)*YellowHitMod)/SlamCD*M43</f>
        <v>0</v>
      </c>
      <c r="K43" s="103">
        <f ca="1">(15+(BaseDamage+NetAP/14*BaseSpeed)/FinalSpeed*WhiteHitMod*(1.5-0.1*ImpSlam)/30)/SlamCD*M43</f>
        <v>0</v>
      </c>
      <c r="L43" s="103">
        <f ca="1">MAX(MAX(FinalSpeed,(15+(BaseDamage+NetAP/14*BaseSpeed)/FinalSpeed*WhiteHitMod*(1.5-0.1*ImpSlam)/30)/
MAX(0.0000000001,(RagePS-K41-K42-K46-K47-K48))),4)</f>
        <v>4</v>
      </c>
      <c r="M43" s="111" t="b">
        <v>0</v>
      </c>
      <c r="N43" s="57"/>
      <c r="O43" s="60" t="s">
        <v>1090</v>
      </c>
      <c r="P43" s="57">
        <f>300+O36</f>
        <v>304</v>
      </c>
      <c r="Q43" s="57">
        <f>300+P36</f>
        <v>304</v>
      </c>
      <c r="R43" s="57"/>
      <c r="S43" s="57"/>
      <c r="T43" s="57"/>
      <c r="U43" s="57"/>
      <c r="V43" s="57"/>
      <c r="W43" s="57"/>
      <c r="X43" s="57"/>
      <c r="Y43" s="57"/>
      <c r="Z43" s="57"/>
      <c r="AA43" s="57"/>
    </row>
    <row r="44" spans="1:27" ht="11.25" customHeight="1" x14ac:dyDescent="0.2">
      <c r="A44" s="57"/>
      <c r="B44" s="57"/>
      <c r="C44" s="67"/>
      <c r="D44" s="57"/>
      <c r="E44" s="57"/>
      <c r="F44" s="57"/>
      <c r="G44" s="57"/>
      <c r="H44" s="75" t="s">
        <v>39</v>
      </c>
      <c r="I44" s="58">
        <f ca="1">IF(K44&gt;0,(J44-(BaseDamage+NetAP/14*BaseSpeed)*WhiteHitMod/HSCD)/K44,0)</f>
        <v>11.292611896547017</v>
      </c>
      <c r="J44" s="58">
        <f ca="1">((BaseDamage+NetAP/14*BaseSpeed+IF(E71=TRUE,157,138))*YellowHitMod)/HSCD*M44</f>
        <v>270.80444991033272</v>
      </c>
      <c r="K44" s="58">
        <f ca="1">((15-I64+WhiteHitMod*(BaseDamage+NetAP/14*BaseSpeed)/30)/HSCD)*M44</f>
        <v>9.8179711135738863</v>
      </c>
      <c r="L44" s="58">
        <f ca="1">MAX(FinalSpeed,(15-I64+WhiteHitMod*(BaseDamage+NetAP/14*BaseSpeed)/30)/
MAX(0.0000000001,(RagePS-K41-K42-K46-K47-K48)))</f>
        <v>2.8973609045802355</v>
      </c>
      <c r="M44" s="76" t="b">
        <v>1</v>
      </c>
      <c r="N44" s="57"/>
      <c r="O44" s="60" t="s">
        <v>891</v>
      </c>
      <c r="P44" s="57">
        <f ca="1">(G36*2+J36+ROUNDDOWN(IF(E72=TRUE,232,185)*(1+0.05*K71),0)+IF(E73=TRUE,222,186)*C68+100*C65+140*C55+100*E57+100*F57+35*E63+40*E64)+200*C78+BloodFury*E81</f>
        <v>2459.6287088780477</v>
      </c>
      <c r="R44" s="57"/>
      <c r="S44" s="57"/>
      <c r="T44" s="57"/>
      <c r="U44" s="57"/>
      <c r="V44" s="57"/>
      <c r="W44" s="57"/>
      <c r="X44" s="57"/>
      <c r="Y44" s="57"/>
      <c r="Z44" s="57"/>
      <c r="AA44" s="57"/>
    </row>
    <row r="45" spans="1:27" ht="11.25" customHeight="1" x14ac:dyDescent="0.2">
      <c r="A45" s="57"/>
      <c r="B45" s="57"/>
      <c r="C45" s="69" t="s">
        <v>862</v>
      </c>
      <c r="F45" s="57"/>
      <c r="G45" s="57"/>
      <c r="H45" s="102" t="s">
        <v>74</v>
      </c>
      <c r="I45" s="103">
        <f ca="1">IF(K45&gt;0,(J45-(BaseDamage+NetAP/14*BaseSpeed)*WhiteHitMod/CleaveCD)/K45,0)</f>
        <v>0</v>
      </c>
      <c r="J45" s="103">
        <f ca="1">(BaseDamage+NetAP/14*BaseSpeed+50*(1+0.4*K68))*YellowHitMod/CleaveCD*M45</f>
        <v>0</v>
      </c>
      <c r="K45" s="103">
        <f ca="1">((20+WhiteHitMod*(BaseDamage+NetAP/14*BaseSpeed)/30)/CleaveCD)*M45</f>
        <v>0</v>
      </c>
      <c r="L45" s="103">
        <f ca="1">MAX(FinalSpeed,(20+WhiteHitMod*(BaseDamage+NetAP/14*BaseSpeed)/30)/
MAX(0.0000000001,(RagePS-K41-K42-K46-K47-K48)))</f>
        <v>3.6103392070959739</v>
      </c>
      <c r="M45" s="111" t="b">
        <v>0</v>
      </c>
      <c r="N45" s="57"/>
      <c r="O45" s="60" t="s">
        <v>1083</v>
      </c>
      <c r="P45" s="66">
        <f ca="1">(1+(0.06*Flurry)*FlurryUptime)*IF(C6="Libram of Rapidity",1.01,1)*IF(C20="Libram of Rapidity",1.01,1)*IF(C25="Kiss of the Spider",1+KotS/100,1)*IF(C26="Kiss of the Spider",1+KotS/100,1)*IF(C17="Minor Haste",1.01,1)*(1+JujuFlurry/100)*(1+0.15*C58)*(1+0.05*C60)*IF(C27="Empyrean Demolisher",1+(20*(1-2.71828^(-(WhiteMHConnects+YellowConnects)*10*VLOOKUP(C27,ProcChance,4,FALSE))))/100,1)*IF(C27="Eskhandar's Right Claw",1+(30*(1-2.71828^(-(WhiteMHConnects+YellowConnects)*5*VLOOKUP(C27,ProcChance,4,FALSE))))/100,1)*IF(E82=TRUE,1+(IF(FightDuration/10&lt;1,M59,IF(FightDuration/180&lt;1,M59*10/FightDuration,IF(FightDuration-180*ROUNDDOWN(FightDuration/180,0)&lt;10,(FightDuration-180*ROUNDDOWN(FightDuration/180,0)+10*ROUNDDOWN(FightDuration/180,0))*M59/FightDuration,(ROUNDDOWN(FightDuration/180,0)+1)*10*M59/FightDuration))))/100,1)-1</f>
        <v>0.24599100230587179</v>
      </c>
      <c r="Q45" s="57"/>
      <c r="R45" s="57"/>
      <c r="S45" s="57"/>
      <c r="T45" s="57"/>
      <c r="U45" s="57"/>
      <c r="V45" s="57"/>
      <c r="W45" s="57"/>
      <c r="X45" s="57"/>
      <c r="Y45" s="57"/>
      <c r="Z45" s="57"/>
      <c r="AA45" s="57"/>
    </row>
    <row r="46" spans="1:27" ht="11.25" customHeight="1" x14ac:dyDescent="0.2">
      <c r="A46" s="57"/>
      <c r="B46" s="55" t="s">
        <v>49</v>
      </c>
      <c r="C46" s="107">
        <f ca="1">C47*0.85+C48*0.15</f>
        <v>797.96172483498913</v>
      </c>
      <c r="F46" s="57"/>
      <c r="G46" s="57"/>
      <c r="H46" s="75" t="s">
        <v>76</v>
      </c>
      <c r="I46" s="58">
        <f ca="1">IF(K46&gt;0,J46/K46,0)</f>
        <v>28.643794998382639</v>
      </c>
      <c r="J46" s="58">
        <f ca="1">(BaseDamage+NetAP/14*Normalize)*YellowHitMod/WWCD*M46</f>
        <v>59.674573150328399</v>
      </c>
      <c r="K46" s="58">
        <f>25/WWCD*M46</f>
        <v>2.0833333333333335</v>
      </c>
      <c r="L46" s="58">
        <v>12</v>
      </c>
      <c r="M46" s="76" t="b">
        <v>1</v>
      </c>
      <c r="N46" s="57"/>
      <c r="O46" s="60" t="s">
        <v>1084</v>
      </c>
      <c r="P46" s="57">
        <f>(1509+H36*10+IF(C20="Libram of Constitution",100,0)+IF(C6="Libram of Constituion",100,0)+IF(C13="Major Health",100,0)+300*C58)*(1+IF(C34 = "Tauren", 0.05, 0))</f>
        <v>7348.9500000000007</v>
      </c>
      <c r="Q46" s="57"/>
      <c r="R46" s="57"/>
      <c r="S46" s="57"/>
      <c r="T46" s="57"/>
      <c r="U46" s="57"/>
      <c r="V46" s="57"/>
      <c r="W46" s="57"/>
      <c r="X46" s="57"/>
      <c r="Y46" s="57"/>
      <c r="Z46" s="57"/>
      <c r="AA46" s="57"/>
    </row>
    <row r="47" spans="1:27" ht="11.25" customHeight="1" x14ac:dyDescent="0.2">
      <c r="A47" s="57"/>
      <c r="B47" s="55" t="s">
        <v>863</v>
      </c>
      <c r="C47" s="108">
        <f ca="1">1/1.1*(1-0.2*C61)*(1-0.3*C69)*(1-0.2*C73)*(C42+M44*IF(E71=TRUE,175,145)/HSCD+M48*141/HamstringCD+IF(C27="Thunderfury",MHWeaponProcDPS/300*241,0)+IF(C29="Thunderfury",OHWeaponProcDPS/300*241,0))</f>
        <v>770.43836962783826</v>
      </c>
      <c r="F47" s="57"/>
      <c r="G47" s="57"/>
      <c r="H47" s="102" t="s">
        <v>79</v>
      </c>
      <c r="I47" s="103">
        <f>IF(K47&gt;0,J47/K47,0)</f>
        <v>0</v>
      </c>
      <c r="J47" s="103">
        <f ca="1">M47*(BaseDamage+NetAP/14*Normalize+35)*OPHitMod/L47</f>
        <v>0</v>
      </c>
      <c r="K47" s="103">
        <f>25/OverpowerCD*M47</f>
        <v>0</v>
      </c>
      <c r="L47" s="95">
        <v>30</v>
      </c>
      <c r="M47" s="111" t="b">
        <v>0</v>
      </c>
      <c r="N47" s="57"/>
      <c r="O47" s="60" t="s">
        <v>1085</v>
      </c>
      <c r="P47" s="57">
        <f>I36*2+N36+384*C63</f>
        <v>6117.5</v>
      </c>
      <c r="Q47" s="57"/>
      <c r="R47" s="57"/>
      <c r="S47" s="57"/>
      <c r="T47" s="57"/>
      <c r="U47" s="57"/>
      <c r="V47" s="57"/>
      <c r="W47" s="57"/>
      <c r="X47" s="57"/>
      <c r="Y47" s="57"/>
      <c r="Z47" s="57"/>
      <c r="AA47" s="57"/>
    </row>
    <row r="48" spans="1:27" x14ac:dyDescent="0.2">
      <c r="A48" s="57"/>
      <c r="B48" s="55" t="s">
        <v>864</v>
      </c>
      <c r="C48" s="109">
        <f ca="1">1/1.1*(1-0.2*C61)*(1-0.3*C69)*(1-0.2*C73)*(C43+IF(C27="Thunderfury",MHWeaponProcDPS/300*241,0)+IF(C29="Thunderfury",OHWeaponProcDPS/300*241,0))</f>
        <v>953.92760827547045</v>
      </c>
      <c r="F48" s="57"/>
      <c r="G48" s="57"/>
      <c r="H48" s="75" t="s">
        <v>80</v>
      </c>
      <c r="I48" s="58">
        <f>IF(K48&gt;0,(J48+IF(C27="Ironfoe",0.12*WhiteHitMod*(BaseDamage+NetAP/14*BaseSpeed)/HamstringCD,0)+IF(C27="Thrash Blade",0.05*WhiteHitMod*(BaseDamage+NetAP/14*BaseSpeed)/HamstringCD,0)+IF(C25="Hand of Justice",0.02*WhiteHitMod*(BaseDamage+NetAP/14*BaseSpeed)/HamstringCD,0)+IF(C26="Hand of Justice",0.02*WhiteHitMod*(BaseDamage+NetAP/14*BaseSpeed)/HamstringCD,0)+IF(C25="Darkmoon Card: Maelstrom",250*BaseSpeed/60*0.8*(1+1.5*Spell_Crit/100)/HamstringCD,0)+IF(C26="Darkmoon Card: Maelstrom",250*BaseSpeed/60*0.8*(1+1.5*Spell_Crit/100)/HamstringCD,0)+IF(C27="Deathbringer",125*0.05*0.8*IF(Spell_Crit&gt;0,1+1.5*Spell_Crit/100,1)/HamstringCD,0)+IF(C27="Thunderfury",300*0.1748*0.8*IF(Spell_Crit&gt;0,1+1.5*Spell_Crit/100,1)/HamstringCD,0)+IF(C27="Vis'kag the Bloodletter",240*0.0563333333333*(1-MobMitigation)*DeathWishMod*(1+0.02*OneHSpec)*(YellowCrits*2+YellowHits)/100/HamstringCD,))/K48,0)</f>
        <v>0</v>
      </c>
      <c r="J48" s="58">
        <f>45*YellowHitMod/HamstringCD*M48</f>
        <v>0</v>
      </c>
      <c r="K48" s="58">
        <f>(10-IF(C16="R7 Gauntlets",3,0)-IF(C16="R12 Gauntlets",3,0))/HamstringCD*M48</f>
        <v>0</v>
      </c>
      <c r="L48" s="82">
        <v>4</v>
      </c>
      <c r="M48" s="76" t="b">
        <v>0</v>
      </c>
      <c r="N48" s="57"/>
      <c r="O48" s="59" t="s">
        <v>680</v>
      </c>
      <c r="P48" s="57">
        <f>C55*10+C57*5+3*C79</f>
        <v>18</v>
      </c>
      <c r="Q48" s="57"/>
      <c r="R48" s="57"/>
      <c r="S48" s="57"/>
      <c r="T48" s="57"/>
      <c r="U48" s="57"/>
      <c r="V48" s="57"/>
      <c r="W48" s="57"/>
      <c r="X48" s="57"/>
      <c r="Y48" s="57"/>
      <c r="Z48" s="57"/>
      <c r="AA48" s="57"/>
    </row>
    <row r="49" spans="1:27" x14ac:dyDescent="0.2">
      <c r="A49" s="57"/>
      <c r="B49" s="57"/>
      <c r="C49" s="57"/>
      <c r="D49" s="57"/>
      <c r="E49" s="57"/>
      <c r="F49" s="57"/>
      <c r="G49" s="60"/>
      <c r="H49" s="102" t="s">
        <v>546</v>
      </c>
      <c r="I49" s="103">
        <f ca="1">IF(K49&gt;0,J49/K49,0)</f>
        <v>40.418989371248834</v>
      </c>
      <c r="J49" s="103">
        <f ca="1">((600+15*MIN(100-ExeRage,(RagePS20*ExeCD-15+IF(ImpExe=1,2,IF(ImpExe=2,5,0)))))*YellowHitMod20)/ExeCD*M49</f>
        <v>700.13836034996268</v>
      </c>
      <c r="K49" s="103">
        <f ca="1">RagePS20*M49</f>
        <v>17.322015623266097</v>
      </c>
      <c r="L49" s="103">
        <f ca="1">IF(K55=TRUE,1.5,Calcs!B45)</f>
        <v>1.7811842281677108</v>
      </c>
      <c r="M49" s="111" t="b">
        <v>1</v>
      </c>
      <c r="N49" s="57"/>
      <c r="O49" s="59" t="s">
        <v>950</v>
      </c>
      <c r="P49" s="57">
        <f>IF(BREBoTS=0,BRE+BotS,BREBoTS)</f>
        <v>0</v>
      </c>
      <c r="Q49" s="57"/>
      <c r="R49" s="57"/>
      <c r="S49" s="57"/>
      <c r="T49" s="57"/>
      <c r="U49" s="57"/>
      <c r="V49" s="57"/>
      <c r="W49" s="57"/>
      <c r="X49" s="57"/>
      <c r="Y49" s="57"/>
      <c r="Z49" s="57"/>
      <c r="AA49" s="57"/>
    </row>
    <row r="50" spans="1:27" x14ac:dyDescent="0.2">
      <c r="A50" s="57"/>
      <c r="B50" s="57"/>
      <c r="C50" s="57"/>
      <c r="D50" s="57"/>
      <c r="E50" s="57"/>
      <c r="F50" s="57"/>
      <c r="G50" s="57"/>
      <c r="H50" s="57"/>
      <c r="I50" s="57"/>
      <c r="J50" s="57"/>
      <c r="K50" s="57"/>
      <c r="L50" s="57"/>
      <c r="M50" s="57"/>
      <c r="N50" s="57"/>
      <c r="Q50" s="57"/>
      <c r="R50" s="57"/>
      <c r="S50" s="57"/>
      <c r="T50" s="57"/>
      <c r="U50" s="57"/>
      <c r="V50" s="57"/>
      <c r="W50" s="57"/>
      <c r="X50" s="57"/>
      <c r="Y50" s="57"/>
      <c r="Z50" s="57"/>
      <c r="AA50" s="57"/>
    </row>
    <row r="51" spans="1:27" ht="12.75" customHeight="1" x14ac:dyDescent="0.2">
      <c r="A51" s="57"/>
      <c r="B51" s="162" t="s">
        <v>1060</v>
      </c>
      <c r="C51" s="169"/>
      <c r="D51" s="169"/>
      <c r="E51" s="169"/>
      <c r="F51" s="169"/>
      <c r="G51" s="57"/>
      <c r="H51" s="162" t="s">
        <v>1096</v>
      </c>
      <c r="I51" s="162"/>
      <c r="J51" s="162"/>
      <c r="K51" s="162"/>
      <c r="L51" s="162"/>
      <c r="M51" s="162"/>
      <c r="N51" s="57"/>
      <c r="O51" s="161" t="s">
        <v>1080</v>
      </c>
      <c r="P51" s="161"/>
      <c r="Q51" s="161"/>
      <c r="R51" s="57"/>
      <c r="S51" s="57"/>
      <c r="T51" s="57"/>
      <c r="U51" s="57"/>
      <c r="V51" s="57"/>
      <c r="W51" s="57"/>
      <c r="X51" s="57"/>
      <c r="Y51" s="57"/>
      <c r="Z51" s="57"/>
      <c r="AA51" s="57"/>
    </row>
    <row r="52" spans="1:27" ht="11.25" customHeight="1" x14ac:dyDescent="0.2">
      <c r="A52" s="57"/>
      <c r="B52" s="169"/>
      <c r="C52" s="169"/>
      <c r="D52" s="169"/>
      <c r="E52" s="169"/>
      <c r="F52" s="169"/>
      <c r="G52" s="57"/>
      <c r="H52" s="162"/>
      <c r="I52" s="162"/>
      <c r="J52" s="162"/>
      <c r="K52" s="162"/>
      <c r="L52" s="162"/>
      <c r="M52" s="162"/>
      <c r="N52" s="57"/>
      <c r="O52" s="161"/>
      <c r="P52" s="161"/>
      <c r="Q52" s="161"/>
      <c r="R52" s="57"/>
      <c r="S52" s="57"/>
      <c r="T52" s="57"/>
      <c r="U52" s="57"/>
      <c r="V52" s="57"/>
      <c r="W52" s="57"/>
      <c r="X52" s="57"/>
      <c r="Y52" s="57"/>
      <c r="Z52" s="57"/>
      <c r="AA52" s="57"/>
    </row>
    <row r="53" spans="1:27" x14ac:dyDescent="0.2">
      <c r="A53" s="57"/>
      <c r="B53" s="57"/>
      <c r="C53" s="57"/>
      <c r="D53" s="57"/>
      <c r="E53" s="57"/>
      <c r="F53" s="57"/>
      <c r="G53" s="57"/>
      <c r="H53" s="57"/>
      <c r="I53" s="57"/>
      <c r="J53" s="57"/>
      <c r="K53" s="57"/>
      <c r="L53" s="57"/>
      <c r="M53" s="57"/>
      <c r="N53" s="57"/>
      <c r="P53" s="112" t="s">
        <v>1081</v>
      </c>
      <c r="Q53" s="112" t="s">
        <v>1082</v>
      </c>
      <c r="R53" s="57"/>
      <c r="S53" s="57"/>
      <c r="T53" s="57"/>
      <c r="U53" s="57"/>
      <c r="V53" s="57"/>
      <c r="W53" s="57"/>
      <c r="X53" s="57"/>
      <c r="Y53" s="57"/>
      <c r="Z53" s="57"/>
      <c r="AA53" s="57"/>
    </row>
    <row r="54" spans="1:27" x14ac:dyDescent="0.2">
      <c r="A54" s="57"/>
      <c r="B54" s="154" t="s">
        <v>1032</v>
      </c>
      <c r="C54" s="156"/>
      <c r="D54" s="156" t="s">
        <v>485</v>
      </c>
      <c r="E54" s="156"/>
      <c r="F54" s="155"/>
      <c r="G54" s="57"/>
      <c r="H54" s="154" t="s">
        <v>685</v>
      </c>
      <c r="I54" s="156"/>
      <c r="J54" s="156" t="s">
        <v>1227</v>
      </c>
      <c r="K54" s="156"/>
      <c r="L54" s="156" t="s">
        <v>1078</v>
      </c>
      <c r="M54" s="155"/>
      <c r="N54" s="57"/>
      <c r="O54" s="9" t="s">
        <v>392</v>
      </c>
      <c r="P54" s="2">
        <f ca="1">(BaseDamage+NetAP/14*BaseSpeed)*(1-MobMitigation)*DeathWishMod*(1+IF(Base2HSpeed&gt;0,0.01*THSpec,0.02*OneHSpec))</f>
        <v>426.02580015393755</v>
      </c>
      <c r="Q54" s="116">
        <f ca="1">(BaseOHDamage+NetAP/14*BaseOHSpeed)*(1-MobMitigation)*DeathWishMod*(1+0.02*OneHSpec)*(0.5+(0.025*ImpDW))</f>
        <v>316.4344083968835</v>
      </c>
      <c r="R54" s="57"/>
      <c r="S54" s="57"/>
      <c r="T54" s="57"/>
      <c r="U54" s="57"/>
      <c r="V54" s="57"/>
      <c r="W54" s="57"/>
      <c r="X54" s="57"/>
      <c r="Y54" s="57"/>
      <c r="Z54" s="57"/>
      <c r="AA54" s="57"/>
    </row>
    <row r="55" spans="1:27" ht="11.25" customHeight="1" x14ac:dyDescent="0.2">
      <c r="A55" s="57"/>
      <c r="B55" s="57" t="s">
        <v>490</v>
      </c>
      <c r="C55" s="64" t="b">
        <v>1</v>
      </c>
      <c r="D55" s="57" t="s">
        <v>605</v>
      </c>
      <c r="E55" s="64" t="b">
        <v>0</v>
      </c>
      <c r="F55" s="64" t="b">
        <v>1</v>
      </c>
      <c r="G55" s="57"/>
      <c r="H55" s="58" t="s">
        <v>1256</v>
      </c>
      <c r="I55" s="80" t="b">
        <v>1</v>
      </c>
      <c r="J55" s="58" t="s">
        <v>1033</v>
      </c>
      <c r="K55" s="80" t="b">
        <v>0</v>
      </c>
      <c r="L55" s="81" t="s">
        <v>767</v>
      </c>
      <c r="M55" s="82">
        <v>60</v>
      </c>
      <c r="N55" s="57"/>
      <c r="O55" s="9" t="s">
        <v>1086</v>
      </c>
      <c r="P55" s="2">
        <f ca="1">(BaseDamage+NetAP/14*BaseSpeed)*(1-MobMitigation)*DeathWishMod*(1+IF(Base2HSpeed&gt;0,0.01*THSpec,0.02*OneHSpec))*2</f>
        <v>852.05160030787511</v>
      </c>
      <c r="Q55" s="116">
        <f ca="1">(BaseOHDamage+NetAP/14*BaseOHSpeed)*(1-MobMitigation)*DeathWishMod*(1+0.02*OneHSpec)*(0.5+(0.025*ImpDW))*2</f>
        <v>632.868816793767</v>
      </c>
      <c r="R55" s="57"/>
      <c r="S55" s="57"/>
      <c r="T55" s="57"/>
      <c r="U55" s="57"/>
      <c r="V55" s="57"/>
      <c r="W55" s="57"/>
      <c r="X55" s="57"/>
      <c r="Y55" s="57"/>
      <c r="Z55" s="57"/>
      <c r="AA55" s="57"/>
    </row>
    <row r="56" spans="1:27" ht="11.25" customHeight="1" x14ac:dyDescent="0.2">
      <c r="A56" s="57"/>
      <c r="B56" s="57" t="s">
        <v>494</v>
      </c>
      <c r="C56" s="64" t="b">
        <v>1</v>
      </c>
      <c r="D56" s="57" t="s">
        <v>604</v>
      </c>
      <c r="E56" s="64" t="b">
        <v>0</v>
      </c>
      <c r="F56" s="64" t="b">
        <v>0</v>
      </c>
      <c r="G56" s="57"/>
      <c r="H56" s="58" t="s">
        <v>686</v>
      </c>
      <c r="I56" s="80" t="b">
        <v>1</v>
      </c>
      <c r="J56" s="58" t="s">
        <v>643</v>
      </c>
      <c r="K56" s="80" t="b">
        <v>0</v>
      </c>
      <c r="L56" s="81" t="s">
        <v>882</v>
      </c>
      <c r="M56" s="82">
        <v>63</v>
      </c>
      <c r="N56" s="57"/>
      <c r="O56" s="9" t="s">
        <v>1087</v>
      </c>
      <c r="P56" s="116">
        <f ca="1">(BaseDamage+NetAP/14*BaseSpeed)*(1-MobMitigation)*DeathWishMod*(1+IF(Base2HSpeed&gt;0,0.01*THSpec,0.02*OneHSpec))*MHGlancingMod</f>
        <v>349.46896386627498</v>
      </c>
      <c r="Q56" s="118">
        <f ca="1">(BaseOHDamage+NetAP/14*BaseOHSpeed)*(1-MobMitigation)*DeathWishMod*(1+0.02*OneHSpec)*(0.5+(0.025*ImpDW))*OHGlancingMod</f>
        <v>259.57114520796353</v>
      </c>
      <c r="R56" s="57"/>
      <c r="S56" s="57"/>
      <c r="T56" s="57"/>
      <c r="U56" s="57"/>
      <c r="V56" s="57"/>
      <c r="W56" s="57"/>
      <c r="X56" s="57"/>
      <c r="Y56" s="57"/>
      <c r="Z56" s="57"/>
      <c r="AA56" s="57"/>
    </row>
    <row r="57" spans="1:27" ht="11.25" customHeight="1" x14ac:dyDescent="0.2">
      <c r="A57" s="57"/>
      <c r="B57" s="57" t="s">
        <v>1021</v>
      </c>
      <c r="C57" s="64" t="b">
        <v>1</v>
      </c>
      <c r="D57" s="57" t="s">
        <v>606</v>
      </c>
      <c r="E57" s="64" t="b">
        <v>0</v>
      </c>
      <c r="F57" s="64" t="b">
        <v>0</v>
      </c>
      <c r="G57" s="57"/>
      <c r="H57" s="58" t="s">
        <v>687</v>
      </c>
      <c r="I57" s="80" t="b">
        <v>1</v>
      </c>
      <c r="L57" s="81" t="s">
        <v>883</v>
      </c>
      <c r="M57" s="82">
        <v>4691</v>
      </c>
      <c r="N57" s="57"/>
      <c r="O57" s="9" t="s">
        <v>939</v>
      </c>
      <c r="P57" s="2">
        <f>BaseDamage</f>
        <v>102.5</v>
      </c>
      <c r="Q57" s="2">
        <f>BaseOHDamage</f>
        <v>132</v>
      </c>
      <c r="R57" s="57"/>
      <c r="S57" s="57"/>
      <c r="T57" s="57"/>
      <c r="U57" s="57"/>
      <c r="V57" s="57"/>
      <c r="W57" s="57"/>
      <c r="X57" s="57"/>
      <c r="Y57" s="57"/>
      <c r="Z57" s="57"/>
      <c r="AA57" s="57"/>
    </row>
    <row r="58" spans="1:27" ht="11.25" customHeight="1" x14ac:dyDescent="0.2">
      <c r="A58" s="57"/>
      <c r="B58" s="57" t="s">
        <v>489</v>
      </c>
      <c r="C58" s="64" t="b">
        <v>0</v>
      </c>
      <c r="D58" s="57" t="s">
        <v>492</v>
      </c>
      <c r="E58" s="64" t="b">
        <v>0</v>
      </c>
      <c r="F58" s="64"/>
      <c r="G58" s="57"/>
      <c r="H58" s="58" t="s">
        <v>292</v>
      </c>
      <c r="I58" s="80" t="b">
        <v>1</v>
      </c>
      <c r="L58" s="57" t="s">
        <v>1213</v>
      </c>
      <c r="M58" s="149">
        <v>40</v>
      </c>
      <c r="N58" s="57"/>
      <c r="O58" s="9" t="s">
        <v>940</v>
      </c>
      <c r="P58" s="2">
        <f>BaseSpeed</f>
        <v>1.9</v>
      </c>
      <c r="Q58" s="2">
        <f>BaseOHSpeed</f>
        <v>2.2000000000000002</v>
      </c>
      <c r="R58" s="57"/>
      <c r="S58" s="57"/>
      <c r="T58" s="57"/>
      <c r="U58" s="57"/>
      <c r="V58" s="57"/>
      <c r="W58" s="57"/>
      <c r="X58" s="57"/>
      <c r="Y58" s="57"/>
      <c r="Z58" s="57"/>
      <c r="AA58" s="57"/>
    </row>
    <row r="59" spans="1:27" ht="11.25" customHeight="1" x14ac:dyDescent="0.2">
      <c r="A59" s="57"/>
      <c r="B59" s="154" t="s">
        <v>482</v>
      </c>
      <c r="C59" s="155"/>
      <c r="D59" s="57" t="s">
        <v>491</v>
      </c>
      <c r="E59" s="64" t="b">
        <v>0</v>
      </c>
      <c r="F59" s="64"/>
      <c r="G59" s="57"/>
      <c r="H59" s="57" t="s">
        <v>1255</v>
      </c>
      <c r="I59" s="80" t="b">
        <v>0</v>
      </c>
      <c r="J59" s="57"/>
      <c r="K59" s="57"/>
      <c r="L59" s="57" t="s">
        <v>1224</v>
      </c>
      <c r="M59" s="67">
        <f>IF(M58&lt;=40,30,10+(100-M58)/3)</f>
        <v>30</v>
      </c>
      <c r="N59" s="57"/>
      <c r="R59" s="57"/>
      <c r="S59" s="57"/>
      <c r="T59" s="57"/>
      <c r="U59" s="57"/>
      <c r="V59" s="57"/>
      <c r="W59" s="57"/>
      <c r="X59" s="57"/>
      <c r="Y59" s="57"/>
      <c r="Z59" s="57"/>
      <c r="AA59" s="57"/>
    </row>
    <row r="60" spans="1:27" ht="11.25" customHeight="1" x14ac:dyDescent="0.2">
      <c r="A60" s="57"/>
      <c r="B60" s="57" t="s">
        <v>1011</v>
      </c>
      <c r="C60" s="64" t="b">
        <v>0</v>
      </c>
      <c r="D60" s="57" t="s">
        <v>84</v>
      </c>
      <c r="E60" s="64" t="b">
        <v>1</v>
      </c>
      <c r="F60" s="64"/>
      <c r="G60" s="57"/>
      <c r="N60" s="57"/>
      <c r="O60" s="161" t="s">
        <v>1212</v>
      </c>
      <c r="P60" s="161"/>
      <c r="Q60" s="161"/>
      <c r="R60" s="57"/>
      <c r="S60" s="57"/>
      <c r="T60" s="57"/>
      <c r="U60" s="57"/>
      <c r="V60" s="57"/>
      <c r="W60" s="57"/>
      <c r="X60" s="57"/>
      <c r="Y60" s="57"/>
      <c r="Z60" s="57"/>
      <c r="AA60" s="57"/>
    </row>
    <row r="61" spans="1:27" ht="11.25" customHeight="1" x14ac:dyDescent="0.2">
      <c r="A61" s="57"/>
      <c r="B61" s="57" t="s">
        <v>409</v>
      </c>
      <c r="C61" s="64" t="b">
        <v>1</v>
      </c>
      <c r="D61" s="57" t="s">
        <v>1023</v>
      </c>
      <c r="E61" s="64" t="b">
        <v>0</v>
      </c>
      <c r="F61" s="64"/>
      <c r="G61" s="57"/>
      <c r="H61" s="163" t="s">
        <v>37</v>
      </c>
      <c r="I61" s="164"/>
      <c r="J61" s="164"/>
      <c r="K61" s="164"/>
      <c r="L61" s="164"/>
      <c r="M61" s="165"/>
      <c r="N61" s="57"/>
      <c r="O61" s="161"/>
      <c r="P61" s="161"/>
      <c r="Q61" s="161"/>
      <c r="R61" s="57"/>
      <c r="S61" s="57"/>
      <c r="T61" s="57"/>
      <c r="U61" s="57"/>
      <c r="V61" s="57"/>
      <c r="W61" s="57"/>
      <c r="X61" s="57"/>
      <c r="Y61" s="57"/>
      <c r="Z61" s="57"/>
      <c r="AA61" s="57"/>
    </row>
    <row r="62" spans="1:27" ht="11.25" customHeight="1" x14ac:dyDescent="0.2">
      <c r="A62" s="57"/>
      <c r="B62" s="57" t="s">
        <v>523</v>
      </c>
      <c r="C62" s="64" t="b">
        <v>0</v>
      </c>
      <c r="D62" s="57" t="s">
        <v>488</v>
      </c>
      <c r="E62" s="64" t="b">
        <v>1</v>
      </c>
      <c r="F62" s="64"/>
      <c r="G62" s="57"/>
      <c r="H62" s="166"/>
      <c r="I62" s="167"/>
      <c r="J62" s="167"/>
      <c r="K62" s="167"/>
      <c r="L62" s="167"/>
      <c r="M62" s="168"/>
      <c r="N62" s="57"/>
      <c r="O62" s="57"/>
      <c r="P62" s="113" t="s">
        <v>1092</v>
      </c>
      <c r="Q62" s="113" t="s">
        <v>1093</v>
      </c>
      <c r="R62" s="57"/>
      <c r="S62" s="57"/>
      <c r="T62" s="57"/>
      <c r="U62" s="57"/>
      <c r="V62" s="57"/>
      <c r="W62" s="57"/>
      <c r="X62" s="57"/>
      <c r="Y62" s="57"/>
      <c r="Z62" s="57"/>
      <c r="AA62" s="57"/>
    </row>
    <row r="63" spans="1:27" x14ac:dyDescent="0.2">
      <c r="A63" s="57"/>
      <c r="B63" s="57" t="s">
        <v>1010</v>
      </c>
      <c r="C63" s="64" t="b">
        <v>1</v>
      </c>
      <c r="D63" s="57" t="s">
        <v>493</v>
      </c>
      <c r="E63" s="64" t="b">
        <v>0</v>
      </c>
      <c r="F63" s="64"/>
      <c r="G63" s="57"/>
      <c r="H63" s="74" t="s">
        <v>38</v>
      </c>
      <c r="I63" s="58">
        <f>SUM(I64:I80)</f>
        <v>17</v>
      </c>
      <c r="J63" s="74" t="s">
        <v>56</v>
      </c>
      <c r="K63" s="58">
        <f>SUM(K64:K80)</f>
        <v>34</v>
      </c>
      <c r="L63" s="74" t="s">
        <v>536</v>
      </c>
      <c r="M63" s="58">
        <f>SUM(M64:M80)</f>
        <v>0</v>
      </c>
      <c r="N63" s="57"/>
      <c r="O63" s="60" t="s">
        <v>1041</v>
      </c>
      <c r="P63" s="66">
        <f ca="1">1-(1-WhiteCrits/100)^(3/(MHSwings+WhiteOHSwings)*WhiteMHSwings)*IF(BaseOHSpeed&gt;0,(1-WhiteOHCrits/100)^(3/(MHSwings+WhiteOHSwings)/FinalOHSpeed),1)*(1-BTCrits/100)^(3/(MHSwings+WhiteOHSwings)/BTCD*M41)*(1-YellowCrits/100)^(3/(MHSwings+WhiteOHSwings)/MSCD*M42)*(1-YellowCrits/100)^(3/(MHSwings+WhiteOHSwings)/SlamCD*M43)*(1-YellowCrits/100)^(3/(MHSwings+WhiteOHSwings)/HSCD*M44)*(1-YellowCrits/100)^(3/(MHSwings+WhiteOHSwings)/CleaveCD*M45)*(1-YellowCrits/100)^(3/(MHSwings+WhiteOHSwings)/WWCD*M46)*IFERROR((1-OPCrits/100)^(3/(MHSwings+WhiteOHSwings)/OverpowerCD*M47),1)*(1-YellowCrits/100)^(3/(MHSwings+WhiteOHSwings)/HamstringCD*M48)</f>
        <v>0.81996998916188046</v>
      </c>
      <c r="Q63" s="66">
        <f ca="1">1-(1-YellowCrits/100)^(3/(MHSwings20+WhiteOHSwings20)/ExeCD*M49)*(1-WhiteCrits/100)^(3/(MHSwings20+WhiteOHSwings20)/FinalSpeed20)*IF(BaseOHSpeed&gt;0,(1-WhiteOHCrits/100)^(3/(MHSwings20+WhiteOHSwings20)/FinalOHSpeed20),1)</f>
        <v>0.87384544106341977</v>
      </c>
      <c r="R63" s="57"/>
      <c r="S63" s="57"/>
      <c r="T63" s="57"/>
      <c r="U63" s="57"/>
      <c r="V63" s="57"/>
      <c r="W63" s="57"/>
      <c r="X63" s="57"/>
      <c r="Y63" s="57"/>
      <c r="Z63" s="57"/>
      <c r="AA63" s="57"/>
    </row>
    <row r="64" spans="1:27" x14ac:dyDescent="0.2">
      <c r="A64" s="57"/>
      <c r="B64" s="57" t="s">
        <v>1009</v>
      </c>
      <c r="C64" s="64" t="b">
        <v>1</v>
      </c>
      <c r="D64" s="57" t="s">
        <v>562</v>
      </c>
      <c r="E64" s="64" t="b">
        <v>1</v>
      </c>
      <c r="F64" s="64"/>
      <c r="G64" s="57"/>
      <c r="H64" s="103" t="s">
        <v>39</v>
      </c>
      <c r="I64" s="95">
        <v>2</v>
      </c>
      <c r="J64" s="103" t="s">
        <v>57</v>
      </c>
      <c r="K64" s="95">
        <v>0</v>
      </c>
      <c r="L64" s="103" t="s">
        <v>915</v>
      </c>
      <c r="M64" s="95">
        <v>0</v>
      </c>
      <c r="N64" s="57"/>
      <c r="O64" s="60" t="s">
        <v>535</v>
      </c>
      <c r="P64" s="57">
        <f ca="1">YellowConnects*((BaseDamage+(NetAP+IF(C75=TRUE,409,315))/14*BaseSpeed)*WhiteHitMod)*0.2*C74+((BaseDamage+(NetAP+IF(C75=TRUE,409,315))/14*BaseSpeed)/FinalSpeed*WhiteHitMod*0.2*C74)</f>
        <v>0</v>
      </c>
      <c r="Q64" s="57">
        <f ca="1">YellowConnects20*((BaseDamage+(NetAP20+IF(C75=TRUE,409,315))/14*BaseSpeed)*WhiteHitMod20)*0.2*C74+((BaseDamage+(NetAP20+IF(C75=TRUE,409,315))/14*BaseSpeed)/FinalSpeed20*WhiteHitMod20*0.2*C74)</f>
        <v>0</v>
      </c>
      <c r="R64" s="57"/>
      <c r="S64" s="57"/>
      <c r="T64" s="57"/>
      <c r="U64" s="57"/>
      <c r="V64" s="57"/>
      <c r="W64" s="57"/>
      <c r="X64" s="57"/>
      <c r="Y64" s="57"/>
      <c r="Z64" s="57"/>
      <c r="AA64" s="57"/>
    </row>
    <row r="65" spans="1:27" x14ac:dyDescent="0.2">
      <c r="A65" s="57"/>
      <c r="B65" s="57" t="s">
        <v>1008</v>
      </c>
      <c r="C65" s="64" t="b">
        <v>1</v>
      </c>
      <c r="D65" s="57" t="s">
        <v>1031</v>
      </c>
      <c r="E65" s="64" t="b">
        <v>0</v>
      </c>
      <c r="F65" s="64"/>
      <c r="G65" s="57"/>
      <c r="H65" s="58" t="s">
        <v>40</v>
      </c>
      <c r="I65" s="82">
        <v>0</v>
      </c>
      <c r="J65" s="58" t="s">
        <v>634</v>
      </c>
      <c r="K65" s="82">
        <v>5</v>
      </c>
      <c r="L65" s="58" t="s">
        <v>916</v>
      </c>
      <c r="M65" s="82">
        <v>0</v>
      </c>
      <c r="N65" s="57"/>
      <c r="O65" s="60" t="s">
        <v>541</v>
      </c>
      <c r="P65" s="57">
        <f ca="1">SSConnects*WhiteHitMod*(BaseDamage+NetAP/14*BaseSpeed)</f>
        <v>0</v>
      </c>
      <c r="Q65" s="57">
        <f ca="1">SSConnects20*WhiteHitMod20*(BaseDamage+NetAP20/14*BaseSpeed)</f>
        <v>0</v>
      </c>
      <c r="R65" s="57"/>
      <c r="S65" s="57"/>
      <c r="T65" s="57"/>
      <c r="U65" s="57"/>
      <c r="V65" s="57"/>
      <c r="W65" s="57"/>
      <c r="X65" s="57"/>
      <c r="Y65" s="57"/>
      <c r="Z65" s="57"/>
      <c r="AA65" s="57"/>
    </row>
    <row r="66" spans="1:27" x14ac:dyDescent="0.2">
      <c r="A66" s="57"/>
      <c r="B66" s="154" t="s">
        <v>483</v>
      </c>
      <c r="C66" s="155"/>
      <c r="D66" s="57" t="s">
        <v>1022</v>
      </c>
      <c r="E66" s="64" t="b">
        <v>1</v>
      </c>
      <c r="F66" s="64"/>
      <c r="G66" s="57"/>
      <c r="H66" s="103" t="s">
        <v>41</v>
      </c>
      <c r="I66" s="95">
        <v>3</v>
      </c>
      <c r="J66" s="103" t="s">
        <v>58</v>
      </c>
      <c r="K66" s="95">
        <v>0</v>
      </c>
      <c r="L66" s="103" t="s">
        <v>917</v>
      </c>
      <c r="M66" s="95">
        <v>0</v>
      </c>
      <c r="N66" s="57"/>
      <c r="O66" s="60" t="s">
        <v>62</v>
      </c>
      <c r="P66" s="67">
        <f ca="1">(BaseDamage+NetAP/14*BaseSpeed)/FinalSpeed*WhiteHitMod+WhiteOHHitMod*(BaseOHDamage+NetAP*BaseOHSpeed/14)/IF(BaseOHSpeed=0,1,FinalOHSpeed)+IF(C25="Hand of Justice",Trinket1DPS,0)+IF(C26="Hand of Justice",Trinket2DPS,0)+WindfuryDPS-WhiteHitMod*(BaseDamage+NetAP/14*BaseSpeed)/HSCD*M44-(BaseDamage+NetAP/14*BaseSpeed)/CleaveCD*WhiteHitMod*M45-((BaseDamage+NetAP/14*BaseSpeed)/FinalSpeed*WhiteHitMod*(1.5-0.1*ImpSlam)+(BaseDamage+NetAP/14*BaseSpeed)/FinalSpeed*WhiteHitMod*(1.5-0.1*ImpSlam)*0.2*C74)/SlamCD*M43</f>
        <v>338.87965573229735</v>
      </c>
      <c r="Q66" s="118">
        <f ca="1">(BaseDamage+NetAP20/14*BaseSpeed)/FinalSpeed20*WhiteHitMod20+WhiteOHHitMod20*(BaseOHDamage+NetAP20*BaseOHSpeed/14)/IF(BaseOHSpeed=0,1,FinalOHSpeed20)+IF(C25="Hand of Justice",Trinket1DPS20,0)+IF(C26="Hand of Justice",Trinket2DPS20,0)+WindfuryDPS20</f>
        <v>508.04901682526037</v>
      </c>
      <c r="R66" s="57"/>
      <c r="S66" s="57"/>
      <c r="T66" s="57"/>
      <c r="U66" s="57"/>
      <c r="V66" s="57"/>
      <c r="W66" s="57"/>
      <c r="X66" s="57"/>
      <c r="Y66" s="57"/>
      <c r="Z66" s="57"/>
      <c r="AA66" s="57"/>
    </row>
    <row r="67" spans="1:27" x14ac:dyDescent="0.2">
      <c r="A67" s="57"/>
      <c r="B67" s="57" t="s">
        <v>1006</v>
      </c>
      <c r="C67" s="64" t="b">
        <v>0</v>
      </c>
      <c r="D67" s="57" t="s">
        <v>486</v>
      </c>
      <c r="E67" s="64" t="b">
        <v>0</v>
      </c>
      <c r="F67" s="64"/>
      <c r="G67" s="57"/>
      <c r="H67" s="58" t="s">
        <v>42</v>
      </c>
      <c r="I67" s="82">
        <v>0</v>
      </c>
      <c r="J67" s="58" t="s">
        <v>59</v>
      </c>
      <c r="K67" s="82">
        <v>5</v>
      </c>
      <c r="L67" s="58" t="s">
        <v>600</v>
      </c>
      <c r="M67" s="84">
        <v>0</v>
      </c>
      <c r="N67" s="57"/>
      <c r="O67" s="59" t="s">
        <v>1095</v>
      </c>
      <c r="P67" s="118">
        <f ca="1">((BaseDamage+NetAP/14*BaseSpeed)/FinalSpeed*WhiteHitMod+WhiteOHHitMod*(BaseOHDamage+NetAP*BaseOHSpeed/14)/IF(BaseOHSpeed=0,1,FinalOHSpeed)+IF(C25="Hand of Justice",Trinket1DPS,0)+IF(C26="Hand of Justice",Trinket2DPS,0)+WindfuryDPS+IF(C27="Ironfoe",MHWeaponProcDPS,0)+IF(C27="Thrash Blade",MHWeaponProcDPS,0)+IF(C29="Thrash Blade",OHWeaponProcDPS,0)+IF(C27="Flurry Axe",MHWeaponProcDPS,0)+IF(C29="Flurry Axe",OHWeaponProcDPS,0))/30 + (WhiteMHConnects+WhiteOHConnects)*(0.08*UnbridledWrath) + 1/3*I71+K78/6+50*K55</f>
        <v>16.90130351987149</v>
      </c>
      <c r="Q67" s="118">
        <f ca="1">(WhiteDPS20+IF(C27="Ironfoe",MHWeaponProcDPS20,0)+IF(C27="Thrash Blade",MHWeaponProcDPS20,0)+IF(C29="Thrash Blade",OHWeaponProcDPS20,0)+IF(C27="Flurry Axe",MHWeaponProcDPS20,0)+IF(C29="Flurry Axe",OHWeaponProcDPS20,0))/30 + (WhiteMHConnects20+WhiteOHConnects20)*(0.08*UnbridledWrath) + 1/3*I71+K78/6+50*K55</f>
        <v>17.322014802715131</v>
      </c>
      <c r="R67" s="57"/>
      <c r="S67" s="57"/>
      <c r="T67" s="57"/>
      <c r="U67" s="57"/>
      <c r="V67" s="57"/>
      <c r="W67" s="57"/>
      <c r="X67" s="57"/>
      <c r="Y67" s="57"/>
      <c r="Z67" s="57"/>
      <c r="AA67" s="57"/>
    </row>
    <row r="68" spans="1:27" x14ac:dyDescent="0.2">
      <c r="A68" s="57"/>
      <c r="B68" s="57" t="s">
        <v>877</v>
      </c>
      <c r="C68" s="64" t="b">
        <v>0</v>
      </c>
      <c r="D68" s="57" t="s">
        <v>487</v>
      </c>
      <c r="E68" s="64" t="b">
        <v>1</v>
      </c>
      <c r="F68" s="64"/>
      <c r="G68" s="57"/>
      <c r="H68" s="103" t="s">
        <v>43</v>
      </c>
      <c r="I68" s="95">
        <v>5</v>
      </c>
      <c r="J68" s="103" t="s">
        <v>60</v>
      </c>
      <c r="K68" s="95">
        <v>0</v>
      </c>
      <c r="L68" s="103" t="s">
        <v>918</v>
      </c>
      <c r="M68" s="95">
        <v>0</v>
      </c>
      <c r="N68" s="57"/>
      <c r="O68" s="68" t="s">
        <v>1094</v>
      </c>
      <c r="P68" s="118">
        <f ca="1">K41+K42+K43+K44+K45+K47+K46+K48</f>
        <v>16.901304446907218</v>
      </c>
      <c r="Q68" s="118">
        <f ca="1">K49</f>
        <v>17.322015623266097</v>
      </c>
      <c r="R68" s="57"/>
      <c r="S68" s="57"/>
      <c r="T68" s="57"/>
      <c r="U68" s="57"/>
      <c r="V68" s="57"/>
      <c r="W68" s="57"/>
      <c r="X68" s="57"/>
      <c r="Y68" s="57"/>
      <c r="Z68" s="57"/>
      <c r="AA68" s="57"/>
    </row>
    <row r="69" spans="1:27" x14ac:dyDescent="0.2">
      <c r="A69" s="57"/>
      <c r="B69" s="57" t="s">
        <v>1007</v>
      </c>
      <c r="C69" s="64" t="b">
        <v>0</v>
      </c>
      <c r="D69" s="57" t="s">
        <v>993</v>
      </c>
      <c r="E69" s="64" t="b">
        <v>0</v>
      </c>
      <c r="F69" s="64"/>
      <c r="G69" s="57"/>
      <c r="H69" s="58" t="s">
        <v>44</v>
      </c>
      <c r="I69" s="82">
        <v>0</v>
      </c>
      <c r="J69" s="58" t="s">
        <v>61</v>
      </c>
      <c r="K69" s="82">
        <v>0</v>
      </c>
      <c r="L69" s="58" t="s">
        <v>919</v>
      </c>
      <c r="M69" s="82">
        <v>0</v>
      </c>
      <c r="N69" s="57"/>
      <c r="O69" s="59"/>
      <c r="P69" s="57"/>
      <c r="Q69" s="57"/>
      <c r="R69" s="57"/>
      <c r="S69" s="57"/>
      <c r="T69" s="57"/>
      <c r="U69" s="57"/>
      <c r="V69" s="57"/>
      <c r="W69" s="57"/>
      <c r="X69" s="57"/>
      <c r="Y69" s="57"/>
      <c r="Z69" s="57"/>
      <c r="AA69" s="57"/>
    </row>
    <row r="70" spans="1:27" x14ac:dyDescent="0.2">
      <c r="A70" s="57"/>
      <c r="B70" s="154" t="s">
        <v>484</v>
      </c>
      <c r="C70" s="156"/>
      <c r="D70" s="148" t="s">
        <v>875</v>
      </c>
      <c r="E70" s="147"/>
      <c r="G70" s="57"/>
      <c r="H70" s="103" t="s">
        <v>45</v>
      </c>
      <c r="I70" s="95">
        <v>2</v>
      </c>
      <c r="J70" s="103" t="s">
        <v>63</v>
      </c>
      <c r="K70" s="95">
        <v>0</v>
      </c>
      <c r="L70" s="103" t="s">
        <v>920</v>
      </c>
      <c r="M70" s="95">
        <v>0</v>
      </c>
      <c r="N70" s="57"/>
      <c r="O70" s="59" t="s">
        <v>689</v>
      </c>
      <c r="P70" s="57">
        <f>IF(M57-IF(I59,2550,IF(I55,2250,0))-640*I56-505*I57-600*I58-P49&gt;0,M57-IF(I59,2550,IF(I55,2250,0))-640*I56-505*I57-600*I58-P49,0)</f>
        <v>696</v>
      </c>
      <c r="Q70" s="57"/>
      <c r="R70" s="57"/>
      <c r="S70" s="57"/>
      <c r="T70" s="57"/>
      <c r="U70" s="57"/>
      <c r="V70" s="57"/>
      <c r="W70" s="57"/>
      <c r="X70" s="57"/>
      <c r="Y70" s="57"/>
      <c r="Z70" s="57"/>
      <c r="AA70" s="57"/>
    </row>
    <row r="71" spans="1:27" x14ac:dyDescent="0.2">
      <c r="A71" s="57"/>
      <c r="B71" s="57" t="s">
        <v>85</v>
      </c>
      <c r="C71" s="64" t="b">
        <v>0</v>
      </c>
      <c r="D71" s="57" t="s">
        <v>39</v>
      </c>
      <c r="E71" s="64" t="b">
        <v>0</v>
      </c>
      <c r="G71" s="57"/>
      <c r="H71" s="58" t="s">
        <v>46</v>
      </c>
      <c r="I71" s="82">
        <v>0</v>
      </c>
      <c r="J71" s="58" t="s">
        <v>64</v>
      </c>
      <c r="K71" s="82">
        <v>5</v>
      </c>
      <c r="L71" s="58" t="s">
        <v>921</v>
      </c>
      <c r="M71" s="84">
        <v>0</v>
      </c>
      <c r="N71" s="57"/>
      <c r="O71" s="59" t="s">
        <v>688</v>
      </c>
      <c r="P71" s="117">
        <f>P70/(P70+400+85*60)</f>
        <v>0.11233053582956747</v>
      </c>
      <c r="Q71" s="57"/>
      <c r="R71" s="57"/>
      <c r="S71" s="57"/>
      <c r="T71" s="57"/>
      <c r="U71" s="57"/>
      <c r="V71" s="57"/>
      <c r="W71" s="57"/>
      <c r="X71" s="57"/>
      <c r="Y71" s="57"/>
      <c r="Z71" s="57"/>
      <c r="AA71" s="57"/>
    </row>
    <row r="72" spans="1:27" x14ac:dyDescent="0.2">
      <c r="A72" s="57"/>
      <c r="B72" s="57" t="s">
        <v>519</v>
      </c>
      <c r="C72" s="64" t="b">
        <v>0</v>
      </c>
      <c r="D72" s="57" t="s">
        <v>876</v>
      </c>
      <c r="E72" s="64" t="b">
        <v>0</v>
      </c>
      <c r="G72" s="57"/>
      <c r="H72" s="103" t="s">
        <v>47</v>
      </c>
      <c r="I72" s="95">
        <v>3</v>
      </c>
      <c r="J72" s="103" t="s">
        <v>65</v>
      </c>
      <c r="K72" s="95">
        <v>5</v>
      </c>
      <c r="L72" s="103" t="s">
        <v>922</v>
      </c>
      <c r="M72" s="95">
        <v>0</v>
      </c>
      <c r="N72" s="57"/>
      <c r="O72" s="59"/>
      <c r="R72" s="57"/>
      <c r="S72" s="57"/>
      <c r="T72" s="57"/>
      <c r="U72" s="57"/>
      <c r="V72" s="57"/>
      <c r="W72" s="57"/>
      <c r="X72" s="57"/>
      <c r="Y72" s="57"/>
      <c r="Z72" s="57"/>
      <c r="AA72" s="57"/>
    </row>
    <row r="73" spans="1:27" x14ac:dyDescent="0.2">
      <c r="A73" s="57"/>
      <c r="B73" s="57" t="s">
        <v>556</v>
      </c>
      <c r="C73" s="64" t="b">
        <v>0</v>
      </c>
      <c r="D73" s="57" t="s">
        <v>877</v>
      </c>
      <c r="E73" s="64" t="b">
        <v>0</v>
      </c>
      <c r="G73" s="57"/>
      <c r="H73" s="58" t="s">
        <v>48</v>
      </c>
      <c r="I73" s="82">
        <v>0</v>
      </c>
      <c r="J73" s="58" t="s">
        <v>68</v>
      </c>
      <c r="K73" s="82">
        <v>2</v>
      </c>
      <c r="L73" s="58" t="s">
        <v>923</v>
      </c>
      <c r="M73" s="82">
        <v>0</v>
      </c>
      <c r="N73" s="57"/>
      <c r="O73" s="60" t="s">
        <v>1091</v>
      </c>
      <c r="P73" s="66">
        <f>(1-MobMitigation)*DeathWishMod*(1+IF(Base2HSpeed&gt;0,0.01*THSpec,0.02*OneHSpec))*((WhiteCrits*2+WhiteHits+WhiteGlancingBlows*MHGlancingMod)*(1-Felstriker)+(FSCrits*2+FSGlancing*MHGlancingMod)*Felstriker)/100</f>
        <v>1.0620650016139443</v>
      </c>
      <c r="Q73" s="66">
        <f>(1-MobMitigation)*DeathWishMod*(1+0.02*OneHSpec)*(0.5+(0.025*ImpDW))*((WhiteOHCrits*2+WhiteOHHits+WhiteOHGlancing*OHGlancingMod)*(1-Felstriker)+(FSOHCrits*2+FSOHGlancing*OHGlancingMod)*Felstriker)/100</f>
        <v>0.6637906260087153</v>
      </c>
      <c r="R73" s="57"/>
      <c r="S73" s="57"/>
      <c r="T73" s="57"/>
      <c r="U73" s="57"/>
      <c r="V73" s="57"/>
      <c r="W73" s="57"/>
      <c r="X73" s="57"/>
      <c r="Y73" s="57"/>
      <c r="Z73" s="57"/>
      <c r="AA73" s="57"/>
    </row>
    <row r="74" spans="1:27" x14ac:dyDescent="0.2">
      <c r="A74" s="57"/>
      <c r="B74" s="57" t="s">
        <v>1005</v>
      </c>
      <c r="C74" s="64" t="b">
        <v>0</v>
      </c>
      <c r="D74" s="57" t="s">
        <v>85</v>
      </c>
      <c r="E74" s="64" t="b">
        <v>0</v>
      </c>
      <c r="F74" s="57"/>
      <c r="G74" s="57"/>
      <c r="H74" s="103" t="s">
        <v>50</v>
      </c>
      <c r="I74" s="95">
        <v>2</v>
      </c>
      <c r="J74" s="103" t="s">
        <v>70</v>
      </c>
      <c r="K74" s="95">
        <v>5</v>
      </c>
      <c r="L74" s="103" t="s">
        <v>924</v>
      </c>
      <c r="M74" s="95">
        <v>0</v>
      </c>
      <c r="N74" s="57"/>
      <c r="O74" s="59" t="s">
        <v>1097</v>
      </c>
      <c r="P74" s="66">
        <f>(1-MobMitigation)*DeathWishMod*(1+IF(Base2HSpeed&gt;0,0.01*THSpec,0.02*OneHSpec))*((YellowCrits*(2+0.1*Impale)+YellowHits)*(1-Felstriker)+FSYellowCrits*(2+0.1*Impale)*Felstriker)/100</f>
        <v>1.3662005326016784</v>
      </c>
      <c r="Q74" s="57"/>
      <c r="R74" s="57"/>
      <c r="S74" s="57"/>
      <c r="T74" s="57"/>
      <c r="U74" s="57"/>
      <c r="V74" s="57"/>
      <c r="W74" s="57"/>
      <c r="X74" s="57"/>
      <c r="Y74" s="57"/>
      <c r="Z74" s="57"/>
      <c r="AA74" s="57"/>
    </row>
    <row r="75" spans="1:27" x14ac:dyDescent="0.2">
      <c r="A75" s="57"/>
      <c r="B75" s="57" t="s">
        <v>1004</v>
      </c>
      <c r="C75" s="64" t="b">
        <v>0</v>
      </c>
      <c r="D75" s="57" t="s">
        <v>519</v>
      </c>
      <c r="E75" s="64" t="b">
        <v>0</v>
      </c>
      <c r="F75" s="79"/>
      <c r="G75" s="57"/>
      <c r="H75" s="58" t="s">
        <v>635</v>
      </c>
      <c r="I75" s="82">
        <v>0</v>
      </c>
      <c r="J75" s="58" t="s">
        <v>72</v>
      </c>
      <c r="K75" s="82">
        <v>0</v>
      </c>
      <c r="L75" s="58" t="s">
        <v>925</v>
      </c>
      <c r="M75" s="84">
        <v>0</v>
      </c>
      <c r="N75" s="57"/>
      <c r="R75" s="57"/>
      <c r="S75" s="57"/>
      <c r="T75" s="57"/>
      <c r="U75" s="57"/>
      <c r="V75" s="57"/>
      <c r="W75" s="57"/>
      <c r="X75" s="57"/>
      <c r="Y75" s="57"/>
      <c r="Z75" s="57"/>
      <c r="AA75" s="57"/>
    </row>
    <row r="76" spans="1:27" x14ac:dyDescent="0.2">
      <c r="A76" s="57"/>
      <c r="B76" s="154" t="s">
        <v>681</v>
      </c>
      <c r="C76" s="156"/>
      <c r="D76" s="156" t="s">
        <v>696</v>
      </c>
      <c r="E76" s="155"/>
      <c r="F76" s="63"/>
      <c r="G76" s="57"/>
      <c r="H76" s="103" t="s">
        <v>51</v>
      </c>
      <c r="I76" s="95">
        <v>0</v>
      </c>
      <c r="J76" s="103" t="s">
        <v>73</v>
      </c>
      <c r="K76" s="95">
        <v>1</v>
      </c>
      <c r="L76" s="103" t="s">
        <v>926</v>
      </c>
      <c r="M76" s="95">
        <v>0</v>
      </c>
      <c r="N76" s="57"/>
      <c r="R76" s="57"/>
      <c r="S76" s="57"/>
      <c r="T76" s="57"/>
      <c r="U76" s="57"/>
      <c r="V76" s="57"/>
      <c r="W76" s="57"/>
      <c r="X76" s="57"/>
      <c r="Y76" s="57"/>
      <c r="Z76" s="57"/>
      <c r="AA76" s="57"/>
    </row>
    <row r="77" spans="1:27" x14ac:dyDescent="0.2">
      <c r="A77" s="57"/>
      <c r="B77" s="57" t="s">
        <v>682</v>
      </c>
      <c r="C77" s="80" t="b">
        <v>1</v>
      </c>
      <c r="D77" s="57" t="s">
        <v>697</v>
      </c>
      <c r="E77" s="64" t="b">
        <v>1</v>
      </c>
      <c r="F77" s="79"/>
      <c r="G77" s="57"/>
      <c r="H77" s="58" t="s">
        <v>52</v>
      </c>
      <c r="I77" s="82">
        <v>0</v>
      </c>
      <c r="J77" s="58" t="s">
        <v>75</v>
      </c>
      <c r="K77" s="82">
        <v>0</v>
      </c>
      <c r="L77" s="58" t="s">
        <v>927</v>
      </c>
      <c r="M77" s="82">
        <v>0</v>
      </c>
      <c r="N77" s="57"/>
      <c r="R77" s="57"/>
      <c r="S77" s="57"/>
      <c r="T77" s="57"/>
      <c r="U77" s="57"/>
      <c r="V77" s="57"/>
      <c r="W77" s="57"/>
      <c r="X77" s="57"/>
      <c r="Y77" s="57"/>
      <c r="Z77" s="57"/>
      <c r="AA77" s="57"/>
    </row>
    <row r="78" spans="1:27" x14ac:dyDescent="0.2">
      <c r="A78" s="57"/>
      <c r="B78" s="57" t="s">
        <v>891</v>
      </c>
      <c r="C78" s="64" t="b">
        <v>1</v>
      </c>
      <c r="D78" s="57" t="s">
        <v>564</v>
      </c>
      <c r="E78" s="64" t="b">
        <v>1</v>
      </c>
      <c r="F78" s="57"/>
      <c r="G78" s="57"/>
      <c r="H78" s="103" t="s">
        <v>53</v>
      </c>
      <c r="I78" s="95">
        <v>0</v>
      </c>
      <c r="J78" s="103" t="s">
        <v>77</v>
      </c>
      <c r="K78" s="95">
        <v>0</v>
      </c>
      <c r="L78" s="103" t="s">
        <v>928</v>
      </c>
      <c r="M78" s="95">
        <v>0</v>
      </c>
      <c r="N78" s="57"/>
      <c r="O78" s="57"/>
      <c r="P78" s="57"/>
      <c r="Q78" s="57"/>
      <c r="R78" s="57"/>
      <c r="S78" s="57"/>
      <c r="T78" s="57"/>
      <c r="U78" s="57"/>
      <c r="V78" s="57"/>
      <c r="W78" s="57"/>
      <c r="X78" s="57"/>
      <c r="Y78" s="57"/>
      <c r="Z78" s="57"/>
      <c r="AA78" s="57"/>
    </row>
    <row r="79" spans="1:27" x14ac:dyDescent="0.2">
      <c r="A79" s="57"/>
      <c r="B79" s="57" t="s">
        <v>680</v>
      </c>
      <c r="C79" s="64" t="b">
        <v>1</v>
      </c>
      <c r="D79" s="57" t="s">
        <v>563</v>
      </c>
      <c r="E79" s="64" t="b">
        <v>0</v>
      </c>
      <c r="G79" s="57"/>
      <c r="H79" s="58" t="s">
        <v>54</v>
      </c>
      <c r="I79" s="82">
        <v>0</v>
      </c>
      <c r="J79" s="58" t="s">
        <v>78</v>
      </c>
      <c r="K79" s="82">
        <v>5</v>
      </c>
      <c r="L79" s="58" t="s">
        <v>537</v>
      </c>
      <c r="M79" s="84">
        <v>0</v>
      </c>
      <c r="N79" s="57"/>
      <c r="Q79" s="57"/>
      <c r="R79" s="57"/>
      <c r="S79" s="57"/>
      <c r="T79" s="57"/>
      <c r="U79" s="57"/>
      <c r="V79" s="57"/>
      <c r="W79" s="57"/>
      <c r="X79" s="57"/>
      <c r="Y79" s="57"/>
      <c r="Z79" s="57"/>
      <c r="AA79" s="57"/>
    </row>
    <row r="80" spans="1:27" x14ac:dyDescent="0.2">
      <c r="A80" s="57"/>
      <c r="D80" s="57" t="s">
        <v>796</v>
      </c>
      <c r="E80" s="64" t="b">
        <v>0</v>
      </c>
      <c r="G80" s="57"/>
      <c r="H80" s="103" t="s">
        <v>55</v>
      </c>
      <c r="I80" s="95">
        <v>0</v>
      </c>
      <c r="J80" s="103" t="s">
        <v>69</v>
      </c>
      <c r="K80" s="95">
        <v>1</v>
      </c>
      <c r="L80" s="103" t="s">
        <v>871</v>
      </c>
      <c r="M80" s="95">
        <v>0</v>
      </c>
      <c r="N80" s="57"/>
      <c r="Q80" s="57"/>
      <c r="R80" s="57"/>
      <c r="S80" s="57"/>
      <c r="T80" s="57"/>
      <c r="U80" s="57"/>
      <c r="V80" s="57"/>
      <c r="W80" s="57"/>
      <c r="X80" s="57"/>
      <c r="Y80" s="57"/>
      <c r="Z80" s="57"/>
      <c r="AA80" s="57"/>
    </row>
    <row r="81" spans="1:27" x14ac:dyDescent="0.2">
      <c r="A81" s="57"/>
      <c r="D81" s="57" t="s">
        <v>1013</v>
      </c>
      <c r="E81" s="64" t="b">
        <v>0</v>
      </c>
      <c r="G81" s="57"/>
      <c r="H81" s="57"/>
      <c r="I81" s="57"/>
      <c r="J81" s="57"/>
      <c r="K81" s="57"/>
      <c r="L81" s="57"/>
      <c r="M81" s="57"/>
      <c r="N81" s="57"/>
      <c r="Q81" s="57"/>
      <c r="R81" s="57"/>
      <c r="S81" s="57"/>
      <c r="T81" s="57"/>
      <c r="U81" s="57"/>
      <c r="V81" s="57"/>
      <c r="W81" s="57"/>
      <c r="X81" s="57"/>
      <c r="Y81" s="57"/>
      <c r="Z81" s="57"/>
      <c r="AA81" s="57"/>
    </row>
    <row r="82" spans="1:27" x14ac:dyDescent="0.2">
      <c r="A82" s="57"/>
      <c r="D82" s="57" t="s">
        <v>1211</v>
      </c>
      <c r="E82" s="64" t="b">
        <v>0</v>
      </c>
      <c r="G82" s="57"/>
      <c r="H82" s="57"/>
      <c r="I82" s="57"/>
      <c r="J82" s="57"/>
      <c r="K82" s="57"/>
      <c r="L82" s="57"/>
      <c r="M82" s="57"/>
      <c r="N82" s="57"/>
      <c r="Q82" s="57"/>
      <c r="R82" s="57"/>
      <c r="S82" s="57"/>
      <c r="T82" s="57"/>
      <c r="U82" s="57"/>
      <c r="V82" s="57"/>
      <c r="W82" s="57"/>
      <c r="X82" s="57"/>
      <c r="Y82" s="57"/>
      <c r="Z82" s="57"/>
      <c r="AA82" s="57"/>
    </row>
    <row r="83" spans="1:27" x14ac:dyDescent="0.2">
      <c r="A83" s="57"/>
      <c r="G83" s="57"/>
      <c r="H83" s="57"/>
      <c r="I83" s="57"/>
      <c r="J83" s="57"/>
      <c r="K83" s="57"/>
      <c r="L83" s="57"/>
      <c r="M83" s="57"/>
      <c r="N83" s="57"/>
      <c r="R83" s="57"/>
      <c r="S83" s="57"/>
      <c r="T83" s="57"/>
      <c r="U83" s="57"/>
      <c r="V83" s="57"/>
      <c r="W83" s="57"/>
      <c r="X83" s="57"/>
      <c r="Y83" s="57"/>
      <c r="Z83" s="57"/>
      <c r="AA83" s="57"/>
    </row>
    <row r="84" spans="1:27" x14ac:dyDescent="0.2">
      <c r="A84" s="57"/>
      <c r="F84" s="57"/>
      <c r="G84" s="57"/>
      <c r="H84" s="57"/>
      <c r="I84" s="57"/>
      <c r="J84" s="57"/>
      <c r="K84" s="57"/>
      <c r="L84" s="57"/>
      <c r="M84" s="57"/>
      <c r="N84" s="57"/>
      <c r="O84" s="57"/>
      <c r="P84" s="57"/>
      <c r="Q84" s="57"/>
      <c r="R84" s="57"/>
      <c r="S84" s="57"/>
      <c r="T84" s="57"/>
      <c r="U84" s="57"/>
      <c r="V84" s="57"/>
      <c r="W84" s="57"/>
      <c r="X84" s="57"/>
      <c r="Y84" s="57"/>
      <c r="Z84" s="57"/>
      <c r="AA84" s="57"/>
    </row>
    <row r="85" spans="1:27" x14ac:dyDescent="0.2">
      <c r="A85" s="57"/>
      <c r="D85" s="79"/>
      <c r="G85" s="57"/>
      <c r="H85" s="57"/>
      <c r="I85" s="57"/>
      <c r="J85" s="57"/>
      <c r="K85" s="57"/>
      <c r="L85" s="57"/>
      <c r="M85" s="57"/>
      <c r="N85" s="57"/>
      <c r="O85" s="57"/>
      <c r="P85" s="57"/>
      <c r="Q85" s="57"/>
      <c r="R85" s="57"/>
      <c r="S85" s="57"/>
      <c r="T85" s="57"/>
      <c r="U85" s="57"/>
      <c r="V85" s="57"/>
      <c r="W85" s="57"/>
      <c r="X85" s="57"/>
      <c r="Y85" s="57"/>
      <c r="Z85" s="57"/>
      <c r="AA85" s="57"/>
    </row>
    <row r="86" spans="1:27" x14ac:dyDescent="0.2">
      <c r="A86" s="57"/>
      <c r="D86" s="63"/>
      <c r="G86" s="57"/>
      <c r="H86" s="57"/>
      <c r="I86" s="57"/>
      <c r="J86" s="57"/>
      <c r="K86" s="57"/>
      <c r="L86" s="57"/>
      <c r="M86" s="57"/>
      <c r="N86" s="57"/>
      <c r="O86" s="57"/>
      <c r="P86" s="57"/>
      <c r="Q86" s="57"/>
      <c r="R86" s="57"/>
      <c r="S86" s="57"/>
      <c r="T86" s="57"/>
      <c r="U86" s="57"/>
      <c r="V86" s="57"/>
      <c r="W86" s="57"/>
      <c r="X86" s="57"/>
      <c r="Y86" s="57"/>
      <c r="Z86" s="57"/>
      <c r="AA86" s="57"/>
    </row>
    <row r="87" spans="1:27" x14ac:dyDescent="0.2">
      <c r="A87" s="57"/>
      <c r="B87" s="57"/>
      <c r="C87" s="57"/>
      <c r="G87" s="57"/>
      <c r="H87" s="57"/>
      <c r="I87" s="57"/>
      <c r="J87" s="57"/>
      <c r="K87" s="57"/>
      <c r="L87" s="57"/>
      <c r="M87" s="57"/>
      <c r="N87" s="57"/>
      <c r="O87" s="57"/>
      <c r="P87" s="57"/>
      <c r="Q87" s="57"/>
      <c r="R87" s="57"/>
      <c r="S87" s="57"/>
      <c r="T87" s="57"/>
      <c r="U87" s="57"/>
      <c r="V87" s="57"/>
      <c r="W87" s="57"/>
      <c r="X87" s="57"/>
      <c r="Y87" s="57"/>
      <c r="Z87" s="57"/>
      <c r="AA87" s="57"/>
    </row>
    <row r="88" spans="1:27" x14ac:dyDescent="0.2">
      <c r="A88" s="57"/>
      <c r="B88" s="57"/>
      <c r="C88" s="57"/>
      <c r="G88" s="57"/>
      <c r="H88" s="57"/>
      <c r="I88" s="57"/>
      <c r="J88" s="57"/>
      <c r="K88" s="57"/>
      <c r="L88" s="57"/>
      <c r="M88" s="57"/>
      <c r="N88" s="57"/>
      <c r="O88" s="57"/>
      <c r="P88" s="57"/>
      <c r="Q88" s="57"/>
      <c r="R88" s="57"/>
      <c r="S88" s="57"/>
      <c r="T88" s="57"/>
      <c r="U88" s="57"/>
      <c r="V88" s="57"/>
      <c r="W88" s="57"/>
      <c r="X88" s="57"/>
      <c r="Y88" s="57"/>
      <c r="Z88" s="57"/>
      <c r="AA88" s="57"/>
    </row>
    <row r="89" spans="1:27" x14ac:dyDescent="0.2">
      <c r="A89" s="57"/>
      <c r="B89" s="57"/>
      <c r="C89" s="57"/>
      <c r="D89" s="57"/>
      <c r="E89" s="57"/>
      <c r="F89" s="57"/>
      <c r="G89" s="57"/>
      <c r="H89" s="57"/>
      <c r="I89" s="57"/>
      <c r="J89" s="57"/>
      <c r="K89" s="57"/>
      <c r="L89" s="57"/>
      <c r="M89" s="57"/>
      <c r="N89" s="57"/>
      <c r="O89" s="57"/>
      <c r="P89" s="57"/>
      <c r="Q89" s="57"/>
      <c r="R89" s="57"/>
      <c r="S89" s="57"/>
      <c r="T89" s="57"/>
      <c r="U89" s="57"/>
      <c r="V89" s="57"/>
      <c r="W89" s="57"/>
      <c r="X89" s="57"/>
      <c r="Y89" s="57"/>
      <c r="Z89" s="57"/>
      <c r="AA89" s="57"/>
    </row>
    <row r="90" spans="1:27" x14ac:dyDescent="0.2">
      <c r="A90" s="57"/>
      <c r="B90" s="57"/>
      <c r="C90" s="57"/>
      <c r="F90" s="57"/>
      <c r="G90" s="57"/>
      <c r="H90" s="57"/>
      <c r="I90" s="57"/>
      <c r="J90" s="57"/>
      <c r="K90" s="57"/>
      <c r="L90" s="57"/>
      <c r="M90" s="57"/>
      <c r="N90" s="57"/>
      <c r="O90" s="57"/>
      <c r="P90" s="57"/>
      <c r="Q90" s="57"/>
      <c r="R90" s="57"/>
      <c r="S90" s="57"/>
      <c r="T90" s="57"/>
      <c r="U90" s="57"/>
      <c r="V90" s="57"/>
      <c r="W90" s="57"/>
      <c r="X90" s="57"/>
      <c r="Y90" s="57"/>
      <c r="Z90" s="57"/>
      <c r="AA90" s="57"/>
    </row>
    <row r="91" spans="1:27" x14ac:dyDescent="0.2">
      <c r="A91" s="57"/>
      <c r="B91" s="57"/>
      <c r="C91" s="57"/>
      <c r="F91" s="57"/>
      <c r="G91" s="57"/>
      <c r="H91" s="57"/>
      <c r="I91" s="57"/>
      <c r="J91" s="57"/>
      <c r="K91" s="57"/>
      <c r="L91" s="57"/>
      <c r="M91" s="57"/>
      <c r="N91" s="57"/>
      <c r="O91" s="57"/>
      <c r="P91" s="57"/>
      <c r="Q91" s="57"/>
      <c r="R91" s="57"/>
      <c r="S91" s="57"/>
      <c r="T91" s="57"/>
      <c r="U91" s="57"/>
      <c r="V91" s="57"/>
      <c r="W91" s="57"/>
      <c r="X91" s="57"/>
      <c r="Y91" s="57"/>
      <c r="Z91" s="57"/>
      <c r="AA91" s="57"/>
    </row>
    <row r="92" spans="1:27" x14ac:dyDescent="0.2">
      <c r="A92" s="57"/>
      <c r="B92" s="57"/>
      <c r="C92" s="57"/>
      <c r="F92" s="57"/>
      <c r="G92" s="57"/>
      <c r="H92" s="57"/>
      <c r="I92" s="57"/>
      <c r="J92" s="57"/>
      <c r="K92" s="57"/>
      <c r="L92" s="57"/>
      <c r="M92" s="57"/>
      <c r="N92" s="57"/>
      <c r="O92" s="57"/>
      <c r="P92" s="57"/>
      <c r="Q92" s="57"/>
      <c r="R92" s="57"/>
      <c r="S92" s="57"/>
      <c r="T92" s="57"/>
      <c r="U92" s="57"/>
      <c r="V92" s="57"/>
      <c r="W92" s="57"/>
      <c r="X92" s="57"/>
      <c r="Y92" s="57"/>
      <c r="Z92" s="57"/>
      <c r="AA92" s="57"/>
    </row>
    <row r="93" spans="1:27" x14ac:dyDescent="0.2">
      <c r="A93" s="57"/>
      <c r="B93" s="57"/>
      <c r="C93" s="57"/>
      <c r="F93" s="57"/>
      <c r="G93" s="57"/>
      <c r="H93" s="57"/>
      <c r="I93" s="57"/>
      <c r="J93" s="57"/>
      <c r="K93" s="57"/>
      <c r="L93" s="57"/>
      <c r="M93" s="57"/>
      <c r="N93" s="57"/>
      <c r="O93" s="57"/>
      <c r="P93" s="57"/>
      <c r="Q93" s="57"/>
      <c r="R93" s="57"/>
      <c r="S93" s="57"/>
      <c r="T93" s="57"/>
      <c r="U93" s="57"/>
      <c r="V93" s="57"/>
      <c r="W93" s="57"/>
      <c r="X93" s="57"/>
      <c r="Y93" s="57"/>
      <c r="Z93" s="57"/>
      <c r="AA93" s="57"/>
    </row>
    <row r="94" spans="1:27" x14ac:dyDescent="0.2">
      <c r="A94" s="57"/>
      <c r="B94" s="57"/>
      <c r="C94" s="57"/>
      <c r="F94" s="57"/>
      <c r="G94" s="57"/>
      <c r="H94" s="57"/>
      <c r="I94" s="57"/>
      <c r="J94" s="57"/>
      <c r="K94" s="57"/>
      <c r="L94" s="57"/>
      <c r="M94" s="57"/>
      <c r="N94" s="57"/>
      <c r="O94" s="57"/>
      <c r="P94" s="57"/>
      <c r="Q94" s="57"/>
      <c r="R94" s="57"/>
      <c r="S94" s="57"/>
      <c r="T94" s="57"/>
      <c r="U94" s="57"/>
      <c r="V94" s="57"/>
      <c r="W94" s="57"/>
      <c r="X94" s="57"/>
      <c r="Y94" s="57"/>
      <c r="Z94" s="57"/>
      <c r="AA94" s="57"/>
    </row>
    <row r="95" spans="1:27" x14ac:dyDescent="0.2">
      <c r="A95" s="57"/>
      <c r="B95" s="57"/>
      <c r="C95" s="57"/>
      <c r="F95" s="57"/>
      <c r="G95" s="57"/>
      <c r="H95" s="57"/>
      <c r="I95" s="57"/>
      <c r="J95" s="57"/>
      <c r="K95" s="57"/>
      <c r="L95" s="57"/>
      <c r="M95" s="57"/>
      <c r="N95" s="57"/>
      <c r="O95" s="57"/>
      <c r="P95" s="57"/>
      <c r="Q95" s="57"/>
      <c r="R95" s="57"/>
      <c r="S95" s="57"/>
      <c r="T95" s="57"/>
      <c r="U95" s="57"/>
      <c r="V95" s="57"/>
      <c r="W95" s="57"/>
      <c r="X95" s="57"/>
      <c r="Y95" s="57"/>
      <c r="Z95" s="57"/>
      <c r="AA95" s="57"/>
    </row>
    <row r="96" spans="1:27" x14ac:dyDescent="0.2">
      <c r="A96" s="57"/>
      <c r="B96" s="57"/>
      <c r="C96" s="57"/>
      <c r="F96" s="57"/>
      <c r="G96" s="57"/>
      <c r="H96" s="57"/>
      <c r="I96" s="57"/>
      <c r="J96" s="57"/>
      <c r="K96" s="57"/>
      <c r="L96" s="57"/>
      <c r="M96" s="57"/>
      <c r="N96" s="57"/>
      <c r="O96" s="57"/>
      <c r="P96" s="57"/>
      <c r="Q96" s="57"/>
      <c r="R96" s="57"/>
      <c r="S96" s="57"/>
      <c r="T96" s="57"/>
      <c r="U96" s="57"/>
      <c r="V96" s="57"/>
      <c r="W96" s="57"/>
      <c r="X96" s="57"/>
      <c r="Y96" s="57"/>
      <c r="Z96" s="57"/>
      <c r="AA96" s="57"/>
    </row>
    <row r="97" spans="1:27" x14ac:dyDescent="0.2">
      <c r="A97" s="57"/>
      <c r="B97" s="57"/>
      <c r="C97" s="57"/>
      <c r="F97" s="57"/>
      <c r="G97" s="57"/>
      <c r="H97" s="57"/>
      <c r="I97" s="57"/>
      <c r="J97" s="57"/>
      <c r="K97" s="57"/>
      <c r="L97" s="57"/>
      <c r="M97" s="57"/>
      <c r="N97" s="57"/>
      <c r="O97" s="57"/>
      <c r="P97" s="57"/>
      <c r="Q97" s="57"/>
      <c r="R97" s="57"/>
      <c r="S97" s="57"/>
      <c r="T97" s="57"/>
      <c r="U97" s="57"/>
      <c r="V97" s="57"/>
      <c r="W97" s="57"/>
      <c r="X97" s="57"/>
      <c r="Y97" s="57"/>
      <c r="Z97" s="57"/>
      <c r="AA97" s="57"/>
    </row>
    <row r="98" spans="1:27" x14ac:dyDescent="0.2">
      <c r="A98" s="57"/>
      <c r="B98" s="57"/>
      <c r="C98" s="57"/>
      <c r="D98" s="57"/>
      <c r="E98" s="57"/>
      <c r="F98" s="57"/>
      <c r="G98" s="57"/>
      <c r="H98" s="57"/>
      <c r="I98" s="57"/>
      <c r="J98" s="57"/>
      <c r="K98" s="57"/>
      <c r="L98" s="57"/>
      <c r="M98" s="57"/>
      <c r="N98" s="57"/>
      <c r="O98" s="57"/>
      <c r="P98" s="57"/>
      <c r="Q98" s="57"/>
      <c r="R98" s="57"/>
      <c r="S98" s="57"/>
      <c r="T98" s="57"/>
      <c r="U98" s="57"/>
      <c r="V98" s="57"/>
      <c r="W98" s="57"/>
      <c r="X98" s="57"/>
      <c r="Y98" s="57"/>
      <c r="Z98" s="57"/>
      <c r="AA98" s="57"/>
    </row>
    <row r="99" spans="1:27" x14ac:dyDescent="0.2">
      <c r="A99" s="57"/>
      <c r="B99" s="57"/>
      <c r="C99" s="57"/>
      <c r="D99" s="57"/>
      <c r="E99" s="57"/>
      <c r="F99" s="57"/>
      <c r="G99" s="57"/>
      <c r="H99" s="57"/>
      <c r="I99" s="57"/>
      <c r="J99" s="57"/>
      <c r="K99" s="57"/>
      <c r="L99" s="57"/>
      <c r="M99" s="57"/>
      <c r="N99" s="57"/>
      <c r="O99" s="57"/>
      <c r="P99" s="57"/>
      <c r="Q99" s="57"/>
      <c r="R99" s="57"/>
      <c r="S99" s="57"/>
      <c r="T99" s="57"/>
      <c r="U99" s="57"/>
      <c r="V99" s="57"/>
      <c r="W99" s="57"/>
      <c r="X99" s="57"/>
      <c r="Y99" s="57"/>
      <c r="Z99" s="57"/>
      <c r="AA99" s="57"/>
    </row>
    <row r="100" spans="1:27" x14ac:dyDescent="0.2">
      <c r="A100" s="57"/>
      <c r="B100" s="57"/>
      <c r="C100" s="57"/>
      <c r="D100" s="57"/>
      <c r="E100" s="57"/>
      <c r="F100" s="57"/>
      <c r="G100" s="57"/>
      <c r="H100" s="57"/>
      <c r="I100" s="57"/>
      <c r="J100" s="57"/>
      <c r="K100" s="57"/>
      <c r="L100" s="57"/>
      <c r="M100" s="57"/>
      <c r="N100" s="57"/>
      <c r="O100" s="57"/>
      <c r="P100" s="57"/>
      <c r="Q100" s="57"/>
      <c r="R100" s="57"/>
      <c r="S100" s="57"/>
      <c r="T100" s="57"/>
      <c r="U100" s="57"/>
      <c r="V100" s="57"/>
      <c r="W100" s="57"/>
      <c r="X100" s="57"/>
      <c r="Y100" s="57"/>
      <c r="Z100" s="57"/>
      <c r="AA100" s="57"/>
    </row>
    <row r="101" spans="1:27" x14ac:dyDescent="0.2">
      <c r="A101" s="57"/>
      <c r="B101" s="57"/>
      <c r="C101" s="57"/>
      <c r="D101" s="57"/>
      <c r="E101" s="57"/>
      <c r="F101" s="57"/>
      <c r="G101" s="57"/>
      <c r="H101" s="57"/>
      <c r="I101" s="57"/>
      <c r="J101" s="57"/>
      <c r="K101" s="57"/>
      <c r="L101" s="57"/>
      <c r="M101" s="57"/>
      <c r="N101" s="57"/>
      <c r="O101" s="57"/>
      <c r="P101" s="57"/>
      <c r="Q101" s="57"/>
      <c r="R101" s="57"/>
      <c r="S101" s="57"/>
      <c r="T101" s="57"/>
      <c r="U101" s="57"/>
      <c r="V101" s="57"/>
      <c r="W101" s="57"/>
      <c r="X101" s="57"/>
      <c r="Y101" s="57"/>
      <c r="Z101" s="57"/>
      <c r="AA101" s="57"/>
    </row>
    <row r="102" spans="1:27" x14ac:dyDescent="0.2">
      <c r="A102" s="57"/>
      <c r="B102" s="57"/>
      <c r="C102" s="57"/>
      <c r="D102" s="57"/>
      <c r="E102" s="57"/>
      <c r="F102" s="57"/>
      <c r="G102" s="57"/>
      <c r="H102" s="57"/>
      <c r="I102" s="57"/>
      <c r="J102" s="57"/>
      <c r="K102" s="57"/>
      <c r="L102" s="57"/>
      <c r="M102" s="57"/>
      <c r="N102" s="57"/>
      <c r="O102" s="57"/>
      <c r="P102" s="57"/>
      <c r="Q102" s="57"/>
      <c r="R102" s="57"/>
      <c r="S102" s="57"/>
      <c r="T102" s="57"/>
      <c r="U102" s="57"/>
      <c r="V102" s="57"/>
      <c r="W102" s="57"/>
      <c r="X102" s="57"/>
      <c r="Y102" s="57"/>
      <c r="Z102" s="57"/>
      <c r="AA102" s="57"/>
    </row>
  </sheetData>
  <mergeCells count="21">
    <mergeCell ref="H61:M62"/>
    <mergeCell ref="B54:C54"/>
    <mergeCell ref="H38:M39"/>
    <mergeCell ref="B51:F52"/>
    <mergeCell ref="B38:F39"/>
    <mergeCell ref="D2:Q3"/>
    <mergeCell ref="B66:C66"/>
    <mergeCell ref="B70:C70"/>
    <mergeCell ref="B76:C76"/>
    <mergeCell ref="D76:E76"/>
    <mergeCell ref="B2:B3"/>
    <mergeCell ref="C2:C3"/>
    <mergeCell ref="O38:Q39"/>
    <mergeCell ref="O60:Q61"/>
    <mergeCell ref="B59:C59"/>
    <mergeCell ref="D54:F54"/>
    <mergeCell ref="J54:K54"/>
    <mergeCell ref="H54:I54"/>
    <mergeCell ref="L54:M54"/>
    <mergeCell ref="H51:M52"/>
    <mergeCell ref="O51:Q52"/>
  </mergeCells>
  <phoneticPr fontId="3" type="noConversion"/>
  <dataValidations count="27">
    <dataValidation type="list" allowBlank="1" showInputMessage="1" showErrorMessage="1" sqref="C34" xr:uid="{00000000-0002-0000-0500-000000000000}">
      <formula1>StartingStatsRaces</formula1>
    </dataValidation>
    <dataValidation type="list" allowBlank="1" showInputMessage="1" showErrorMessage="1" sqref="C6" xr:uid="{00000000-0002-0000-0500-000001000000}">
      <formula1>HeadEnchantList</formula1>
    </dataValidation>
    <dataValidation type="list" allowBlank="1" showInputMessage="1" showErrorMessage="1" sqref="C20" xr:uid="{00000000-0002-0000-0500-000002000000}">
      <formula1>LegEnchantList</formula1>
    </dataValidation>
    <dataValidation type="list" allowBlank="1" showInputMessage="1" showErrorMessage="1" sqref="C17" xr:uid="{00000000-0002-0000-0500-000003000000}">
      <formula1>HandEnchantList</formula1>
    </dataValidation>
    <dataValidation type="list" allowBlank="1" showInputMessage="1" showErrorMessage="1" sqref="C9" xr:uid="{00000000-0002-0000-0500-000004000000}">
      <formula1>ShoulderEnchantList</formula1>
    </dataValidation>
    <dataValidation type="list" allowBlank="1" showInputMessage="1" showErrorMessage="1" sqref="C11" xr:uid="{00000000-0002-0000-0500-000005000000}">
      <formula1>BackEnchantList</formula1>
    </dataValidation>
    <dataValidation type="list" allowBlank="1" showInputMessage="1" showErrorMessage="1" sqref="C15" xr:uid="{00000000-0002-0000-0500-000006000000}">
      <formula1>WristEnchantList</formula1>
    </dataValidation>
    <dataValidation type="list" allowBlank="1" showInputMessage="1" showErrorMessage="1" sqref="C22" xr:uid="{00000000-0002-0000-0500-000007000000}">
      <formula1>FeetEnchantList</formula1>
    </dataValidation>
    <dataValidation type="list" allowBlank="1" showInputMessage="1" showErrorMessage="1" sqref="C28 C32" xr:uid="{00000000-0002-0000-0500-000008000000}">
      <formula1>MHWeaponEnchantList</formula1>
    </dataValidation>
    <dataValidation type="list" allowBlank="1" showInputMessage="1" showErrorMessage="1" sqref="C30" xr:uid="{00000000-0002-0000-0500-000009000000}">
      <formula1>OHWeaponEnchantList</formula1>
    </dataValidation>
    <dataValidation type="list" allowBlank="1" showInputMessage="1" showErrorMessage="1" sqref="C13" xr:uid="{00000000-0002-0000-0500-00000A000000}">
      <formula1>ChestEnchantList</formula1>
    </dataValidation>
    <dataValidation type="list" allowBlank="1" showInputMessage="1" showErrorMessage="1" sqref="C5" xr:uid="{00000000-0002-0000-0500-00000B000000}">
      <formula1>HeadList</formula1>
    </dataValidation>
    <dataValidation type="list" allowBlank="1" showInputMessage="1" showErrorMessage="1" sqref="C16" xr:uid="{00000000-0002-0000-0500-00000C000000}">
      <formula1>HandList</formula1>
    </dataValidation>
    <dataValidation type="list" allowBlank="1" showInputMessage="1" showErrorMessage="1" sqref="C7" xr:uid="{00000000-0002-0000-0500-00000D000000}">
      <formula1>NeckList</formula1>
    </dataValidation>
    <dataValidation type="list" allowBlank="1" showInputMessage="1" showErrorMessage="1" sqref="C8" xr:uid="{00000000-0002-0000-0500-00000E000000}">
      <formula1>ShoulderList</formula1>
    </dataValidation>
    <dataValidation type="list" allowBlank="1" showInputMessage="1" showErrorMessage="1" sqref="C10" xr:uid="{00000000-0002-0000-0500-00000F000000}">
      <formula1>BackList</formula1>
    </dataValidation>
    <dataValidation type="list" allowBlank="1" showInputMessage="1" showErrorMessage="1" sqref="C12" xr:uid="{00000000-0002-0000-0500-000010000000}">
      <formula1>ChestList</formula1>
    </dataValidation>
    <dataValidation type="list" allowBlank="1" showInputMessage="1" showErrorMessage="1" sqref="C14" xr:uid="{00000000-0002-0000-0500-000011000000}">
      <formula1>WristList</formula1>
    </dataValidation>
    <dataValidation type="list" allowBlank="1" showInputMessage="1" showErrorMessage="1" sqref="C18" xr:uid="{00000000-0002-0000-0500-000012000000}">
      <formula1>WaistList</formula1>
    </dataValidation>
    <dataValidation type="list" allowBlank="1" showInputMessage="1" showErrorMessage="1" sqref="C19" xr:uid="{00000000-0002-0000-0500-000013000000}">
      <formula1>LegsList</formula1>
    </dataValidation>
    <dataValidation type="list" allowBlank="1" showInputMessage="1" showErrorMessage="1" sqref="C21" xr:uid="{00000000-0002-0000-0500-000014000000}">
      <formula1>FeetList</formula1>
    </dataValidation>
    <dataValidation type="list" allowBlank="1" showInputMessage="1" showErrorMessage="1" sqref="C23:C24" xr:uid="{00000000-0002-0000-0500-000015000000}">
      <formula1>RingList</formula1>
    </dataValidation>
    <dataValidation type="list" allowBlank="1" showInputMessage="1" showErrorMessage="1" sqref="C25:C26" xr:uid="{00000000-0002-0000-0500-000016000000}">
      <formula1>TrinketList</formula1>
    </dataValidation>
    <dataValidation type="list" allowBlank="1" showInputMessage="1" showErrorMessage="1" sqref="C27 C29" xr:uid="{00000000-0002-0000-0500-000017000000}">
      <formula1>DWWeaponList</formula1>
    </dataValidation>
    <dataValidation type="list" allowBlank="1" showInputMessage="1" showErrorMessage="1" sqref="C33" xr:uid="{00000000-0002-0000-0500-000018000000}">
      <formula1>RangedList</formula1>
    </dataValidation>
    <dataValidation type="list" allowBlank="1" showInputMessage="1" showErrorMessage="1" sqref="C31" xr:uid="{00000000-0002-0000-0500-000019000000}">
      <formula1>THWeaponList</formula1>
    </dataValidation>
    <dataValidation type="custom" allowBlank="1" showInputMessage="1" showErrorMessage="1" sqref="S17" xr:uid="{00000000-0002-0000-0500-00001A000000}">
      <formula1>IF(Realm="Kronos",HandList,LegsList)</formula1>
    </dataValidation>
  </dataValidations>
  <pageMargins left="0.75" right="0.75" top="1" bottom="1" header="0.5" footer="0.5"/>
  <pageSetup orientation="portrait" horizontalDpi="300" vertic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41" r:id="rId4" name="Check Box 17">
              <controlPr defaultSize="0" autoFill="0" autoLine="0" autoPict="0">
                <anchor moveWithCells="1">
                  <from>
                    <xdr:col>12</xdr:col>
                    <xdr:colOff>66675</xdr:colOff>
                    <xdr:row>39</xdr:row>
                    <xdr:rowOff>104775</xdr:rowOff>
                  </from>
                  <to>
                    <xdr:col>13</xdr:col>
                    <xdr:colOff>28575</xdr:colOff>
                    <xdr:row>41</xdr:row>
                    <xdr:rowOff>38100</xdr:rowOff>
                  </to>
                </anchor>
              </controlPr>
            </control>
          </mc:Choice>
        </mc:AlternateContent>
        <mc:AlternateContent xmlns:mc="http://schemas.openxmlformats.org/markup-compatibility/2006">
          <mc:Choice Requires="x14">
            <control shapeId="1048" r:id="rId5" name="Check Box 24">
              <controlPr defaultSize="0" autoFill="0" autoLine="0" autoPict="0">
                <anchor moveWithCells="1">
                  <from>
                    <xdr:col>12</xdr:col>
                    <xdr:colOff>66675</xdr:colOff>
                    <xdr:row>40</xdr:row>
                    <xdr:rowOff>104775</xdr:rowOff>
                  </from>
                  <to>
                    <xdr:col>13</xdr:col>
                    <xdr:colOff>28575</xdr:colOff>
                    <xdr:row>42</xdr:row>
                    <xdr:rowOff>38100</xdr:rowOff>
                  </to>
                </anchor>
              </controlPr>
            </control>
          </mc:Choice>
        </mc:AlternateContent>
        <mc:AlternateContent xmlns:mc="http://schemas.openxmlformats.org/markup-compatibility/2006">
          <mc:Choice Requires="x14">
            <control shapeId="1049" r:id="rId6" name="Check Box 25">
              <controlPr defaultSize="0" autoFill="0" autoLine="0" autoPict="0">
                <anchor moveWithCells="1">
                  <from>
                    <xdr:col>12</xdr:col>
                    <xdr:colOff>66675</xdr:colOff>
                    <xdr:row>42</xdr:row>
                    <xdr:rowOff>104775</xdr:rowOff>
                  </from>
                  <to>
                    <xdr:col>13</xdr:col>
                    <xdr:colOff>28575</xdr:colOff>
                    <xdr:row>44</xdr:row>
                    <xdr:rowOff>38100</xdr:rowOff>
                  </to>
                </anchor>
              </controlPr>
            </control>
          </mc:Choice>
        </mc:AlternateContent>
        <mc:AlternateContent xmlns:mc="http://schemas.openxmlformats.org/markup-compatibility/2006">
          <mc:Choice Requires="x14">
            <control shapeId="1050" r:id="rId7" name="Check Box 26">
              <controlPr defaultSize="0" autoFill="0" autoLine="0" autoPict="0">
                <anchor moveWithCells="1">
                  <from>
                    <xdr:col>12</xdr:col>
                    <xdr:colOff>66675</xdr:colOff>
                    <xdr:row>43</xdr:row>
                    <xdr:rowOff>104775</xdr:rowOff>
                  </from>
                  <to>
                    <xdr:col>13</xdr:col>
                    <xdr:colOff>28575</xdr:colOff>
                    <xdr:row>45</xdr:row>
                    <xdr:rowOff>38100</xdr:rowOff>
                  </to>
                </anchor>
              </controlPr>
            </control>
          </mc:Choice>
        </mc:AlternateContent>
        <mc:AlternateContent xmlns:mc="http://schemas.openxmlformats.org/markup-compatibility/2006">
          <mc:Choice Requires="x14">
            <control shapeId="1051" r:id="rId8" name="Check Box 27">
              <controlPr defaultSize="0" autoFill="0" autoLine="0" autoPict="0">
                <anchor moveWithCells="1">
                  <from>
                    <xdr:col>12</xdr:col>
                    <xdr:colOff>66675</xdr:colOff>
                    <xdr:row>44</xdr:row>
                    <xdr:rowOff>104775</xdr:rowOff>
                  </from>
                  <to>
                    <xdr:col>13</xdr:col>
                    <xdr:colOff>28575</xdr:colOff>
                    <xdr:row>46</xdr:row>
                    <xdr:rowOff>38100</xdr:rowOff>
                  </to>
                </anchor>
              </controlPr>
            </control>
          </mc:Choice>
        </mc:AlternateContent>
        <mc:AlternateContent xmlns:mc="http://schemas.openxmlformats.org/markup-compatibility/2006">
          <mc:Choice Requires="x14">
            <control shapeId="1053" r:id="rId9" name="Check Box 29">
              <controlPr defaultSize="0" autoFill="0" autoLine="0" autoPict="0">
                <anchor moveWithCells="1">
                  <from>
                    <xdr:col>12</xdr:col>
                    <xdr:colOff>66675</xdr:colOff>
                    <xdr:row>46</xdr:row>
                    <xdr:rowOff>104775</xdr:rowOff>
                  </from>
                  <to>
                    <xdr:col>13</xdr:col>
                    <xdr:colOff>28575</xdr:colOff>
                    <xdr:row>48</xdr:row>
                    <xdr:rowOff>38100</xdr:rowOff>
                  </to>
                </anchor>
              </controlPr>
            </control>
          </mc:Choice>
        </mc:AlternateContent>
        <mc:AlternateContent xmlns:mc="http://schemas.openxmlformats.org/markup-compatibility/2006">
          <mc:Choice Requires="x14">
            <control shapeId="1054" r:id="rId10" name="Check Box 30">
              <controlPr defaultSize="0" autoFill="0" autoLine="0" autoPict="0">
                <anchor moveWithCells="1">
                  <from>
                    <xdr:col>12</xdr:col>
                    <xdr:colOff>66675</xdr:colOff>
                    <xdr:row>45</xdr:row>
                    <xdr:rowOff>104775</xdr:rowOff>
                  </from>
                  <to>
                    <xdr:col>13</xdr:col>
                    <xdr:colOff>28575</xdr:colOff>
                    <xdr:row>47</xdr:row>
                    <xdr:rowOff>38100</xdr:rowOff>
                  </to>
                </anchor>
              </controlPr>
            </control>
          </mc:Choice>
        </mc:AlternateContent>
        <mc:AlternateContent xmlns:mc="http://schemas.openxmlformats.org/markup-compatibility/2006">
          <mc:Choice Requires="x14">
            <control shapeId="1055" r:id="rId11" name="Check Box 31">
              <controlPr defaultSize="0" autoFill="0" autoLine="0" autoPict="0">
                <anchor moveWithCells="1">
                  <from>
                    <xdr:col>12</xdr:col>
                    <xdr:colOff>66675</xdr:colOff>
                    <xdr:row>41</xdr:row>
                    <xdr:rowOff>104775</xdr:rowOff>
                  </from>
                  <to>
                    <xdr:col>13</xdr:col>
                    <xdr:colOff>28575</xdr:colOff>
                    <xdr:row>43</xdr:row>
                    <xdr:rowOff>38100</xdr:rowOff>
                  </to>
                </anchor>
              </controlPr>
            </control>
          </mc:Choice>
        </mc:AlternateContent>
        <mc:AlternateContent xmlns:mc="http://schemas.openxmlformats.org/markup-compatibility/2006">
          <mc:Choice Requires="x14">
            <control shapeId="1056" r:id="rId12" name="Check Box 32">
              <controlPr defaultSize="0" autoFill="0" autoLine="0" autoPict="0">
                <anchor moveWithCells="1">
                  <from>
                    <xdr:col>12</xdr:col>
                    <xdr:colOff>66675</xdr:colOff>
                    <xdr:row>47</xdr:row>
                    <xdr:rowOff>104775</xdr:rowOff>
                  </from>
                  <to>
                    <xdr:col>13</xdr:col>
                    <xdr:colOff>28575</xdr:colOff>
                    <xdr:row>49</xdr:row>
                    <xdr:rowOff>38100</xdr:rowOff>
                  </to>
                </anchor>
              </controlPr>
            </control>
          </mc:Choice>
        </mc:AlternateContent>
        <mc:AlternateContent xmlns:mc="http://schemas.openxmlformats.org/markup-compatibility/2006">
          <mc:Choice Requires="x14">
            <control shapeId="1058" r:id="rId13" name="Check Box 34">
              <controlPr defaultSize="0" autoFill="0" autoLine="0" autoPict="0">
                <anchor moveWithCells="1">
                  <from>
                    <xdr:col>2</xdr:col>
                    <xdr:colOff>533400</xdr:colOff>
                    <xdr:row>59</xdr:row>
                    <xdr:rowOff>104775</xdr:rowOff>
                  </from>
                  <to>
                    <xdr:col>2</xdr:col>
                    <xdr:colOff>838200</xdr:colOff>
                    <xdr:row>61</xdr:row>
                    <xdr:rowOff>38100</xdr:rowOff>
                  </to>
                </anchor>
              </controlPr>
            </control>
          </mc:Choice>
        </mc:AlternateContent>
        <mc:AlternateContent xmlns:mc="http://schemas.openxmlformats.org/markup-compatibility/2006">
          <mc:Choice Requires="x14">
            <control shapeId="1059" r:id="rId14" name="Check Box 35">
              <controlPr defaultSize="0" autoFill="0" autoLine="0" autoPict="0">
                <anchor moveWithCells="1">
                  <from>
                    <xdr:col>2</xdr:col>
                    <xdr:colOff>533400</xdr:colOff>
                    <xdr:row>61</xdr:row>
                    <xdr:rowOff>104775</xdr:rowOff>
                  </from>
                  <to>
                    <xdr:col>2</xdr:col>
                    <xdr:colOff>838200</xdr:colOff>
                    <xdr:row>63</xdr:row>
                    <xdr:rowOff>38100</xdr:rowOff>
                  </to>
                </anchor>
              </controlPr>
            </control>
          </mc:Choice>
        </mc:AlternateContent>
        <mc:AlternateContent xmlns:mc="http://schemas.openxmlformats.org/markup-compatibility/2006">
          <mc:Choice Requires="x14">
            <control shapeId="1060" r:id="rId15" name="Check Box 36">
              <controlPr defaultSize="0" autoFill="0" autoLine="0" autoPict="0">
                <anchor moveWithCells="1">
                  <from>
                    <xdr:col>2</xdr:col>
                    <xdr:colOff>533400</xdr:colOff>
                    <xdr:row>62</xdr:row>
                    <xdr:rowOff>104775</xdr:rowOff>
                  </from>
                  <to>
                    <xdr:col>2</xdr:col>
                    <xdr:colOff>838200</xdr:colOff>
                    <xdr:row>64</xdr:row>
                    <xdr:rowOff>38100</xdr:rowOff>
                  </to>
                </anchor>
              </controlPr>
            </control>
          </mc:Choice>
        </mc:AlternateContent>
        <mc:AlternateContent xmlns:mc="http://schemas.openxmlformats.org/markup-compatibility/2006">
          <mc:Choice Requires="x14">
            <control shapeId="1061" r:id="rId16" name="Check Box 37">
              <controlPr defaultSize="0" autoFill="0" autoLine="0" autoPict="0">
                <anchor moveWithCells="1">
                  <from>
                    <xdr:col>2</xdr:col>
                    <xdr:colOff>533400</xdr:colOff>
                    <xdr:row>53</xdr:row>
                    <xdr:rowOff>104775</xdr:rowOff>
                  </from>
                  <to>
                    <xdr:col>2</xdr:col>
                    <xdr:colOff>838200</xdr:colOff>
                    <xdr:row>55</xdr:row>
                    <xdr:rowOff>38100</xdr:rowOff>
                  </to>
                </anchor>
              </controlPr>
            </control>
          </mc:Choice>
        </mc:AlternateContent>
        <mc:AlternateContent xmlns:mc="http://schemas.openxmlformats.org/markup-compatibility/2006">
          <mc:Choice Requires="x14">
            <control shapeId="1062" r:id="rId17" name="Check Box 38">
              <controlPr defaultSize="0" autoFill="0" autoLine="0" autoPict="0">
                <anchor moveWithCells="1">
                  <from>
                    <xdr:col>2</xdr:col>
                    <xdr:colOff>533400</xdr:colOff>
                    <xdr:row>54</xdr:row>
                    <xdr:rowOff>104775</xdr:rowOff>
                  </from>
                  <to>
                    <xdr:col>2</xdr:col>
                    <xdr:colOff>838200</xdr:colOff>
                    <xdr:row>56</xdr:row>
                    <xdr:rowOff>38100</xdr:rowOff>
                  </to>
                </anchor>
              </controlPr>
            </control>
          </mc:Choice>
        </mc:AlternateContent>
        <mc:AlternateContent xmlns:mc="http://schemas.openxmlformats.org/markup-compatibility/2006">
          <mc:Choice Requires="x14">
            <control shapeId="1063" r:id="rId18" name="Check Box 39">
              <controlPr defaultSize="0" autoFill="0" autoLine="0" autoPict="0">
                <anchor moveWithCells="1">
                  <from>
                    <xdr:col>2</xdr:col>
                    <xdr:colOff>533400</xdr:colOff>
                    <xdr:row>60</xdr:row>
                    <xdr:rowOff>104775</xdr:rowOff>
                  </from>
                  <to>
                    <xdr:col>2</xdr:col>
                    <xdr:colOff>838200</xdr:colOff>
                    <xdr:row>62</xdr:row>
                    <xdr:rowOff>38100</xdr:rowOff>
                  </to>
                </anchor>
              </controlPr>
            </control>
          </mc:Choice>
        </mc:AlternateContent>
        <mc:AlternateContent xmlns:mc="http://schemas.openxmlformats.org/markup-compatibility/2006">
          <mc:Choice Requires="x14">
            <control shapeId="1064" r:id="rId19" name="Check Box 40">
              <controlPr defaultSize="0" autoFill="0" autoLine="0" autoPict="0">
                <anchor moveWithCells="1">
                  <from>
                    <xdr:col>2</xdr:col>
                    <xdr:colOff>533400</xdr:colOff>
                    <xdr:row>63</xdr:row>
                    <xdr:rowOff>95250</xdr:rowOff>
                  </from>
                  <to>
                    <xdr:col>2</xdr:col>
                    <xdr:colOff>838200</xdr:colOff>
                    <xdr:row>65</xdr:row>
                    <xdr:rowOff>57150</xdr:rowOff>
                  </to>
                </anchor>
              </controlPr>
            </control>
          </mc:Choice>
        </mc:AlternateContent>
        <mc:AlternateContent xmlns:mc="http://schemas.openxmlformats.org/markup-compatibility/2006">
          <mc:Choice Requires="x14">
            <control shapeId="1065" r:id="rId20" name="Check Box 41">
              <controlPr defaultSize="0" autoFill="0" autoLine="0" autoPict="0">
                <anchor moveWithCells="1">
                  <from>
                    <xdr:col>2</xdr:col>
                    <xdr:colOff>533400</xdr:colOff>
                    <xdr:row>65</xdr:row>
                    <xdr:rowOff>104775</xdr:rowOff>
                  </from>
                  <to>
                    <xdr:col>2</xdr:col>
                    <xdr:colOff>838200</xdr:colOff>
                    <xdr:row>67</xdr:row>
                    <xdr:rowOff>38100</xdr:rowOff>
                  </to>
                </anchor>
              </controlPr>
            </control>
          </mc:Choice>
        </mc:AlternateContent>
        <mc:AlternateContent xmlns:mc="http://schemas.openxmlformats.org/markup-compatibility/2006">
          <mc:Choice Requires="x14">
            <control shapeId="1066" r:id="rId21" name="Check Box 42">
              <controlPr defaultSize="0" autoFill="0" autoLine="0" autoPict="0">
                <anchor moveWithCells="1">
                  <from>
                    <xdr:col>2</xdr:col>
                    <xdr:colOff>533400</xdr:colOff>
                    <xdr:row>66</xdr:row>
                    <xdr:rowOff>104775</xdr:rowOff>
                  </from>
                  <to>
                    <xdr:col>2</xdr:col>
                    <xdr:colOff>838200</xdr:colOff>
                    <xdr:row>68</xdr:row>
                    <xdr:rowOff>38100</xdr:rowOff>
                  </to>
                </anchor>
              </controlPr>
            </control>
          </mc:Choice>
        </mc:AlternateContent>
        <mc:AlternateContent xmlns:mc="http://schemas.openxmlformats.org/markup-compatibility/2006">
          <mc:Choice Requires="x14">
            <control shapeId="1067" r:id="rId22" name="Check Box 43">
              <controlPr defaultSize="0" autoFill="0" autoLine="0" autoPict="0">
                <anchor moveWithCells="1">
                  <from>
                    <xdr:col>2</xdr:col>
                    <xdr:colOff>533400</xdr:colOff>
                    <xdr:row>67</xdr:row>
                    <xdr:rowOff>104775</xdr:rowOff>
                  </from>
                  <to>
                    <xdr:col>2</xdr:col>
                    <xdr:colOff>838200</xdr:colOff>
                    <xdr:row>69</xdr:row>
                    <xdr:rowOff>38100</xdr:rowOff>
                  </to>
                </anchor>
              </controlPr>
            </control>
          </mc:Choice>
        </mc:AlternateContent>
        <mc:AlternateContent xmlns:mc="http://schemas.openxmlformats.org/markup-compatibility/2006">
          <mc:Choice Requires="x14">
            <control shapeId="1068" r:id="rId23" name="Check Box 44">
              <controlPr defaultSize="0" autoFill="0" autoLine="0" autoPict="0">
                <anchor moveWithCells="1">
                  <from>
                    <xdr:col>2</xdr:col>
                    <xdr:colOff>533400</xdr:colOff>
                    <xdr:row>69</xdr:row>
                    <xdr:rowOff>104775</xdr:rowOff>
                  </from>
                  <to>
                    <xdr:col>2</xdr:col>
                    <xdr:colOff>838200</xdr:colOff>
                    <xdr:row>71</xdr:row>
                    <xdr:rowOff>38100</xdr:rowOff>
                  </to>
                </anchor>
              </controlPr>
            </control>
          </mc:Choice>
        </mc:AlternateContent>
        <mc:AlternateContent xmlns:mc="http://schemas.openxmlformats.org/markup-compatibility/2006">
          <mc:Choice Requires="x14">
            <control shapeId="1069" r:id="rId24" name="Check Box 45">
              <controlPr defaultSize="0" autoFill="0" autoLine="0" autoPict="0">
                <anchor moveWithCells="1">
                  <from>
                    <xdr:col>2</xdr:col>
                    <xdr:colOff>533400</xdr:colOff>
                    <xdr:row>70</xdr:row>
                    <xdr:rowOff>104775</xdr:rowOff>
                  </from>
                  <to>
                    <xdr:col>2</xdr:col>
                    <xdr:colOff>838200</xdr:colOff>
                    <xdr:row>72</xdr:row>
                    <xdr:rowOff>38100</xdr:rowOff>
                  </to>
                </anchor>
              </controlPr>
            </control>
          </mc:Choice>
        </mc:AlternateContent>
        <mc:AlternateContent xmlns:mc="http://schemas.openxmlformats.org/markup-compatibility/2006">
          <mc:Choice Requires="x14">
            <control shapeId="1070" r:id="rId25" name="Check Box 46">
              <controlPr defaultSize="0" autoFill="0" autoLine="0" autoPict="0">
                <anchor moveWithCells="1">
                  <from>
                    <xdr:col>2</xdr:col>
                    <xdr:colOff>533400</xdr:colOff>
                    <xdr:row>71</xdr:row>
                    <xdr:rowOff>104775</xdr:rowOff>
                  </from>
                  <to>
                    <xdr:col>2</xdr:col>
                    <xdr:colOff>838200</xdr:colOff>
                    <xdr:row>73</xdr:row>
                    <xdr:rowOff>38100</xdr:rowOff>
                  </to>
                </anchor>
              </controlPr>
            </control>
          </mc:Choice>
        </mc:AlternateContent>
        <mc:AlternateContent xmlns:mc="http://schemas.openxmlformats.org/markup-compatibility/2006">
          <mc:Choice Requires="x14">
            <control shapeId="1071" r:id="rId26" name="Check Box 47">
              <controlPr defaultSize="0" autoFill="0" autoLine="0" autoPict="0">
                <anchor moveWithCells="1">
                  <from>
                    <xdr:col>2</xdr:col>
                    <xdr:colOff>533400</xdr:colOff>
                    <xdr:row>56</xdr:row>
                    <xdr:rowOff>104775</xdr:rowOff>
                  </from>
                  <to>
                    <xdr:col>2</xdr:col>
                    <xdr:colOff>838200</xdr:colOff>
                    <xdr:row>58</xdr:row>
                    <xdr:rowOff>38100</xdr:rowOff>
                  </to>
                </anchor>
              </controlPr>
            </control>
          </mc:Choice>
        </mc:AlternateContent>
        <mc:AlternateContent xmlns:mc="http://schemas.openxmlformats.org/markup-compatibility/2006">
          <mc:Choice Requires="x14">
            <control shapeId="1072" r:id="rId27" name="Check Box 48">
              <controlPr defaultSize="0" autoFill="0" autoLine="0" autoPict="0">
                <anchor moveWithCells="1">
                  <from>
                    <xdr:col>2</xdr:col>
                    <xdr:colOff>533400</xdr:colOff>
                    <xdr:row>72</xdr:row>
                    <xdr:rowOff>104775</xdr:rowOff>
                  </from>
                  <to>
                    <xdr:col>2</xdr:col>
                    <xdr:colOff>838200</xdr:colOff>
                    <xdr:row>74</xdr:row>
                    <xdr:rowOff>38100</xdr:rowOff>
                  </to>
                </anchor>
              </controlPr>
            </control>
          </mc:Choice>
        </mc:AlternateContent>
        <mc:AlternateContent xmlns:mc="http://schemas.openxmlformats.org/markup-compatibility/2006">
          <mc:Choice Requires="x14">
            <control shapeId="1073" r:id="rId28" name="Check Box 49">
              <controlPr defaultSize="0" autoFill="0" autoLine="0" autoPict="0">
                <anchor moveWithCells="1">
                  <from>
                    <xdr:col>4</xdr:col>
                    <xdr:colOff>114300</xdr:colOff>
                    <xdr:row>57</xdr:row>
                    <xdr:rowOff>104775</xdr:rowOff>
                  </from>
                  <to>
                    <xdr:col>5</xdr:col>
                    <xdr:colOff>9525</xdr:colOff>
                    <xdr:row>59</xdr:row>
                    <xdr:rowOff>38100</xdr:rowOff>
                  </to>
                </anchor>
              </controlPr>
            </control>
          </mc:Choice>
        </mc:AlternateContent>
        <mc:AlternateContent xmlns:mc="http://schemas.openxmlformats.org/markup-compatibility/2006">
          <mc:Choice Requires="x14">
            <control shapeId="1075" r:id="rId29" name="Check Box 51">
              <controlPr defaultSize="0" autoFill="0" autoLine="0" autoPict="0">
                <anchor moveWithCells="1">
                  <from>
                    <xdr:col>4</xdr:col>
                    <xdr:colOff>114300</xdr:colOff>
                    <xdr:row>54</xdr:row>
                    <xdr:rowOff>104775</xdr:rowOff>
                  </from>
                  <to>
                    <xdr:col>5</xdr:col>
                    <xdr:colOff>9525</xdr:colOff>
                    <xdr:row>56</xdr:row>
                    <xdr:rowOff>38100</xdr:rowOff>
                  </to>
                </anchor>
              </controlPr>
            </control>
          </mc:Choice>
        </mc:AlternateContent>
        <mc:AlternateContent xmlns:mc="http://schemas.openxmlformats.org/markup-compatibility/2006">
          <mc:Choice Requires="x14">
            <control shapeId="1076" r:id="rId30" name="Check Box 52">
              <controlPr defaultSize="0" autoFill="0" autoLine="0" autoPict="0">
                <anchor moveWithCells="1">
                  <from>
                    <xdr:col>4</xdr:col>
                    <xdr:colOff>114300</xdr:colOff>
                    <xdr:row>53</xdr:row>
                    <xdr:rowOff>104775</xdr:rowOff>
                  </from>
                  <to>
                    <xdr:col>5</xdr:col>
                    <xdr:colOff>9525</xdr:colOff>
                    <xdr:row>55</xdr:row>
                    <xdr:rowOff>38100</xdr:rowOff>
                  </to>
                </anchor>
              </controlPr>
            </control>
          </mc:Choice>
        </mc:AlternateContent>
        <mc:AlternateContent xmlns:mc="http://schemas.openxmlformats.org/markup-compatibility/2006">
          <mc:Choice Requires="x14">
            <control shapeId="1077" r:id="rId31" name="Check Box 53">
              <controlPr defaultSize="0" autoFill="0" autoLine="0" autoPict="0">
                <anchor moveWithCells="1">
                  <from>
                    <xdr:col>4</xdr:col>
                    <xdr:colOff>114300</xdr:colOff>
                    <xdr:row>58</xdr:row>
                    <xdr:rowOff>104775</xdr:rowOff>
                  </from>
                  <to>
                    <xdr:col>5</xdr:col>
                    <xdr:colOff>9525</xdr:colOff>
                    <xdr:row>60</xdr:row>
                    <xdr:rowOff>38100</xdr:rowOff>
                  </to>
                </anchor>
              </controlPr>
            </control>
          </mc:Choice>
        </mc:AlternateContent>
        <mc:AlternateContent xmlns:mc="http://schemas.openxmlformats.org/markup-compatibility/2006">
          <mc:Choice Requires="x14">
            <control shapeId="1078" r:id="rId32" name="Check Box 54">
              <controlPr defaultSize="0" autoFill="0" autoLine="0" autoPict="0">
                <anchor moveWithCells="1">
                  <from>
                    <xdr:col>4</xdr:col>
                    <xdr:colOff>114300</xdr:colOff>
                    <xdr:row>59</xdr:row>
                    <xdr:rowOff>104775</xdr:rowOff>
                  </from>
                  <to>
                    <xdr:col>5</xdr:col>
                    <xdr:colOff>9525</xdr:colOff>
                    <xdr:row>61</xdr:row>
                    <xdr:rowOff>38100</xdr:rowOff>
                  </to>
                </anchor>
              </controlPr>
            </control>
          </mc:Choice>
        </mc:AlternateContent>
        <mc:AlternateContent xmlns:mc="http://schemas.openxmlformats.org/markup-compatibility/2006">
          <mc:Choice Requires="x14">
            <control shapeId="1079" r:id="rId33" name="Check Box 55">
              <controlPr defaultSize="0" autoFill="0" autoLine="0" autoPict="0">
                <anchor moveWithCells="1">
                  <from>
                    <xdr:col>4</xdr:col>
                    <xdr:colOff>114300</xdr:colOff>
                    <xdr:row>56</xdr:row>
                    <xdr:rowOff>104775</xdr:rowOff>
                  </from>
                  <to>
                    <xdr:col>5</xdr:col>
                    <xdr:colOff>9525</xdr:colOff>
                    <xdr:row>58</xdr:row>
                    <xdr:rowOff>38100</xdr:rowOff>
                  </to>
                </anchor>
              </controlPr>
            </control>
          </mc:Choice>
        </mc:AlternateContent>
        <mc:AlternateContent xmlns:mc="http://schemas.openxmlformats.org/markup-compatibility/2006">
          <mc:Choice Requires="x14">
            <control shapeId="1080" r:id="rId34" name="Check Box 56">
              <controlPr defaultSize="0" autoFill="0" autoLine="0" autoPict="0">
                <anchor moveWithCells="1">
                  <from>
                    <xdr:col>4</xdr:col>
                    <xdr:colOff>114300</xdr:colOff>
                    <xdr:row>65</xdr:row>
                    <xdr:rowOff>104775</xdr:rowOff>
                  </from>
                  <to>
                    <xdr:col>5</xdr:col>
                    <xdr:colOff>9525</xdr:colOff>
                    <xdr:row>67</xdr:row>
                    <xdr:rowOff>38100</xdr:rowOff>
                  </to>
                </anchor>
              </controlPr>
            </control>
          </mc:Choice>
        </mc:AlternateContent>
        <mc:AlternateContent xmlns:mc="http://schemas.openxmlformats.org/markup-compatibility/2006">
          <mc:Choice Requires="x14">
            <control shapeId="1081" r:id="rId35" name="Check Box 57">
              <controlPr defaultSize="0" autoFill="0" autoLine="0" autoPict="0">
                <anchor moveWithCells="1">
                  <from>
                    <xdr:col>4</xdr:col>
                    <xdr:colOff>104775</xdr:colOff>
                    <xdr:row>77</xdr:row>
                    <xdr:rowOff>104775</xdr:rowOff>
                  </from>
                  <to>
                    <xdr:col>5</xdr:col>
                    <xdr:colOff>0</xdr:colOff>
                    <xdr:row>79</xdr:row>
                    <xdr:rowOff>38100</xdr:rowOff>
                  </to>
                </anchor>
              </controlPr>
            </control>
          </mc:Choice>
        </mc:AlternateContent>
        <mc:AlternateContent xmlns:mc="http://schemas.openxmlformats.org/markup-compatibility/2006">
          <mc:Choice Requires="x14">
            <control shapeId="1082" r:id="rId36" name="Check Box 58">
              <controlPr defaultSize="0" autoFill="0" autoLine="0" autoPict="0">
                <anchor moveWithCells="1">
                  <from>
                    <xdr:col>4</xdr:col>
                    <xdr:colOff>114300</xdr:colOff>
                    <xdr:row>62</xdr:row>
                    <xdr:rowOff>104775</xdr:rowOff>
                  </from>
                  <to>
                    <xdr:col>5</xdr:col>
                    <xdr:colOff>9525</xdr:colOff>
                    <xdr:row>64</xdr:row>
                    <xdr:rowOff>38100</xdr:rowOff>
                  </to>
                </anchor>
              </controlPr>
            </control>
          </mc:Choice>
        </mc:AlternateContent>
        <mc:AlternateContent xmlns:mc="http://schemas.openxmlformats.org/markup-compatibility/2006">
          <mc:Choice Requires="x14">
            <control shapeId="1083" r:id="rId37" name="Check Box 59">
              <controlPr defaultSize="0" autoFill="0" autoLine="0" autoPict="0">
                <anchor moveWithCells="1">
                  <from>
                    <xdr:col>4</xdr:col>
                    <xdr:colOff>114300</xdr:colOff>
                    <xdr:row>60</xdr:row>
                    <xdr:rowOff>104775</xdr:rowOff>
                  </from>
                  <to>
                    <xdr:col>5</xdr:col>
                    <xdr:colOff>9525</xdr:colOff>
                    <xdr:row>62</xdr:row>
                    <xdr:rowOff>38100</xdr:rowOff>
                  </to>
                </anchor>
              </controlPr>
            </control>
          </mc:Choice>
        </mc:AlternateContent>
        <mc:AlternateContent xmlns:mc="http://schemas.openxmlformats.org/markup-compatibility/2006">
          <mc:Choice Requires="x14">
            <control shapeId="1085" r:id="rId38" name="Check Box 61">
              <controlPr defaultSize="0" autoFill="0" autoLine="0" autoPict="0">
                <anchor moveWithCells="1">
                  <from>
                    <xdr:col>4</xdr:col>
                    <xdr:colOff>104775</xdr:colOff>
                    <xdr:row>76</xdr:row>
                    <xdr:rowOff>104775</xdr:rowOff>
                  </from>
                  <to>
                    <xdr:col>5</xdr:col>
                    <xdr:colOff>0</xdr:colOff>
                    <xdr:row>78</xdr:row>
                    <xdr:rowOff>38100</xdr:rowOff>
                  </to>
                </anchor>
              </controlPr>
            </control>
          </mc:Choice>
        </mc:AlternateContent>
        <mc:AlternateContent xmlns:mc="http://schemas.openxmlformats.org/markup-compatibility/2006">
          <mc:Choice Requires="x14">
            <control shapeId="1087" r:id="rId39" name="Check Box 63">
              <controlPr defaultSize="0" autoFill="0" autoLine="0" autoPict="0">
                <anchor moveWithCells="1">
                  <from>
                    <xdr:col>4</xdr:col>
                    <xdr:colOff>114300</xdr:colOff>
                    <xdr:row>66</xdr:row>
                    <xdr:rowOff>104775</xdr:rowOff>
                  </from>
                  <to>
                    <xdr:col>5</xdr:col>
                    <xdr:colOff>9525</xdr:colOff>
                    <xdr:row>68</xdr:row>
                    <xdr:rowOff>38100</xdr:rowOff>
                  </to>
                </anchor>
              </controlPr>
            </control>
          </mc:Choice>
        </mc:AlternateContent>
        <mc:AlternateContent xmlns:mc="http://schemas.openxmlformats.org/markup-compatibility/2006">
          <mc:Choice Requires="x14">
            <control shapeId="1089" r:id="rId40" name="Check Box 65">
              <controlPr defaultSize="0" autoFill="0" autoLine="0" autoPict="0">
                <anchor moveWithCells="1">
                  <from>
                    <xdr:col>4</xdr:col>
                    <xdr:colOff>114300</xdr:colOff>
                    <xdr:row>61</xdr:row>
                    <xdr:rowOff>104775</xdr:rowOff>
                  </from>
                  <to>
                    <xdr:col>5</xdr:col>
                    <xdr:colOff>9525</xdr:colOff>
                    <xdr:row>63</xdr:row>
                    <xdr:rowOff>38100</xdr:rowOff>
                  </to>
                </anchor>
              </controlPr>
            </control>
          </mc:Choice>
        </mc:AlternateContent>
        <mc:AlternateContent xmlns:mc="http://schemas.openxmlformats.org/markup-compatibility/2006">
          <mc:Choice Requires="x14">
            <control shapeId="1125" r:id="rId41" name="Check Box 101">
              <controlPr defaultSize="0" autoFill="0" autoLine="0" autoPict="0">
                <anchor moveWithCells="1">
                  <from>
                    <xdr:col>4</xdr:col>
                    <xdr:colOff>114300</xdr:colOff>
                    <xdr:row>55</xdr:row>
                    <xdr:rowOff>104775</xdr:rowOff>
                  </from>
                  <to>
                    <xdr:col>5</xdr:col>
                    <xdr:colOff>9525</xdr:colOff>
                    <xdr:row>57</xdr:row>
                    <xdr:rowOff>38100</xdr:rowOff>
                  </to>
                </anchor>
              </controlPr>
            </control>
          </mc:Choice>
        </mc:AlternateContent>
        <mc:AlternateContent xmlns:mc="http://schemas.openxmlformats.org/markup-compatibility/2006">
          <mc:Choice Requires="x14">
            <control shapeId="1126" r:id="rId42" name="Check Box 102">
              <controlPr defaultSize="0" autoFill="0" autoLine="0" autoPict="0">
                <anchor moveWithCells="1">
                  <from>
                    <xdr:col>5</xdr:col>
                    <xdr:colOff>76200</xdr:colOff>
                    <xdr:row>54</xdr:row>
                    <xdr:rowOff>104775</xdr:rowOff>
                  </from>
                  <to>
                    <xdr:col>6</xdr:col>
                    <xdr:colOff>28575</xdr:colOff>
                    <xdr:row>56</xdr:row>
                    <xdr:rowOff>38100</xdr:rowOff>
                  </to>
                </anchor>
              </controlPr>
            </control>
          </mc:Choice>
        </mc:AlternateContent>
        <mc:AlternateContent xmlns:mc="http://schemas.openxmlformats.org/markup-compatibility/2006">
          <mc:Choice Requires="x14">
            <control shapeId="1127" r:id="rId43" name="Check Box 103">
              <controlPr defaultSize="0" autoFill="0" autoLine="0" autoPict="0">
                <anchor moveWithCells="1">
                  <from>
                    <xdr:col>5</xdr:col>
                    <xdr:colOff>76200</xdr:colOff>
                    <xdr:row>53</xdr:row>
                    <xdr:rowOff>104775</xdr:rowOff>
                  </from>
                  <to>
                    <xdr:col>6</xdr:col>
                    <xdr:colOff>28575</xdr:colOff>
                    <xdr:row>55</xdr:row>
                    <xdr:rowOff>38100</xdr:rowOff>
                  </to>
                </anchor>
              </controlPr>
            </control>
          </mc:Choice>
        </mc:AlternateContent>
        <mc:AlternateContent xmlns:mc="http://schemas.openxmlformats.org/markup-compatibility/2006">
          <mc:Choice Requires="x14">
            <control shapeId="1128" r:id="rId44" name="Check Box 104">
              <controlPr defaultSize="0" autoFill="0" autoLine="0" autoPict="0">
                <anchor moveWithCells="1">
                  <from>
                    <xdr:col>5</xdr:col>
                    <xdr:colOff>76200</xdr:colOff>
                    <xdr:row>55</xdr:row>
                    <xdr:rowOff>104775</xdr:rowOff>
                  </from>
                  <to>
                    <xdr:col>6</xdr:col>
                    <xdr:colOff>28575</xdr:colOff>
                    <xdr:row>57</xdr:row>
                    <xdr:rowOff>38100</xdr:rowOff>
                  </to>
                </anchor>
              </controlPr>
            </control>
          </mc:Choice>
        </mc:AlternateContent>
        <mc:AlternateContent xmlns:mc="http://schemas.openxmlformats.org/markup-compatibility/2006">
          <mc:Choice Requires="x14">
            <control shapeId="1147" r:id="rId45" name="Check Box 123">
              <controlPr defaultSize="0" autoFill="0" autoLine="0" autoPict="0">
                <anchor moveWithCells="1">
                  <from>
                    <xdr:col>2</xdr:col>
                    <xdr:colOff>533400</xdr:colOff>
                    <xdr:row>33</xdr:row>
                    <xdr:rowOff>104775</xdr:rowOff>
                  </from>
                  <to>
                    <xdr:col>2</xdr:col>
                    <xdr:colOff>838200</xdr:colOff>
                    <xdr:row>35</xdr:row>
                    <xdr:rowOff>38100</xdr:rowOff>
                  </to>
                </anchor>
              </controlPr>
            </control>
          </mc:Choice>
        </mc:AlternateContent>
        <mc:AlternateContent xmlns:mc="http://schemas.openxmlformats.org/markup-compatibility/2006">
          <mc:Choice Requires="x14">
            <control shapeId="1199" r:id="rId46" name="Check Box 175">
              <controlPr defaultSize="0" autoFill="0" autoLine="0" autoPict="0">
                <anchor moveWithCells="1">
                  <from>
                    <xdr:col>10</xdr:col>
                    <xdr:colOff>104775</xdr:colOff>
                    <xdr:row>54</xdr:row>
                    <xdr:rowOff>104775</xdr:rowOff>
                  </from>
                  <to>
                    <xdr:col>10</xdr:col>
                    <xdr:colOff>409575</xdr:colOff>
                    <xdr:row>56</xdr:row>
                    <xdr:rowOff>38100</xdr:rowOff>
                  </to>
                </anchor>
              </controlPr>
            </control>
          </mc:Choice>
        </mc:AlternateContent>
        <mc:AlternateContent xmlns:mc="http://schemas.openxmlformats.org/markup-compatibility/2006">
          <mc:Choice Requires="x14">
            <control shapeId="1200" r:id="rId47" name="Check Box 176">
              <controlPr defaultSize="0" autoFill="0" autoLine="0" autoPict="0">
                <anchor moveWithCells="1">
                  <from>
                    <xdr:col>2</xdr:col>
                    <xdr:colOff>533400</xdr:colOff>
                    <xdr:row>55</xdr:row>
                    <xdr:rowOff>104775</xdr:rowOff>
                  </from>
                  <to>
                    <xdr:col>2</xdr:col>
                    <xdr:colOff>838200</xdr:colOff>
                    <xdr:row>57</xdr:row>
                    <xdr:rowOff>38100</xdr:rowOff>
                  </to>
                </anchor>
              </controlPr>
            </control>
          </mc:Choice>
        </mc:AlternateContent>
        <mc:AlternateContent xmlns:mc="http://schemas.openxmlformats.org/markup-compatibility/2006">
          <mc:Choice Requires="x14">
            <control shapeId="1201" r:id="rId48" name="Check Box 177">
              <controlPr defaultSize="0" autoFill="0" autoLine="0" autoPict="0">
                <anchor moveWithCells="1">
                  <from>
                    <xdr:col>2</xdr:col>
                    <xdr:colOff>533400</xdr:colOff>
                    <xdr:row>58</xdr:row>
                    <xdr:rowOff>104775</xdr:rowOff>
                  </from>
                  <to>
                    <xdr:col>2</xdr:col>
                    <xdr:colOff>838200</xdr:colOff>
                    <xdr:row>60</xdr:row>
                    <xdr:rowOff>38100</xdr:rowOff>
                  </to>
                </anchor>
              </controlPr>
            </control>
          </mc:Choice>
        </mc:AlternateContent>
        <mc:AlternateContent xmlns:mc="http://schemas.openxmlformats.org/markup-compatibility/2006">
          <mc:Choice Requires="x14">
            <control shapeId="1298" r:id="rId49" name="Check Box 274">
              <controlPr defaultSize="0" autoFill="0" autoLine="0" autoPict="0">
                <anchor moveWithCells="1">
                  <from>
                    <xdr:col>2</xdr:col>
                    <xdr:colOff>533400</xdr:colOff>
                    <xdr:row>76</xdr:row>
                    <xdr:rowOff>104775</xdr:rowOff>
                  </from>
                  <to>
                    <xdr:col>2</xdr:col>
                    <xdr:colOff>838200</xdr:colOff>
                    <xdr:row>78</xdr:row>
                    <xdr:rowOff>38100</xdr:rowOff>
                  </to>
                </anchor>
              </controlPr>
            </control>
          </mc:Choice>
        </mc:AlternateContent>
        <mc:AlternateContent xmlns:mc="http://schemas.openxmlformats.org/markup-compatibility/2006">
          <mc:Choice Requires="x14">
            <control shapeId="1299" r:id="rId50" name="Check Box 275">
              <controlPr defaultSize="0" autoFill="0" autoLine="0" autoPict="0">
                <anchor moveWithCells="1">
                  <from>
                    <xdr:col>2</xdr:col>
                    <xdr:colOff>533400</xdr:colOff>
                    <xdr:row>77</xdr:row>
                    <xdr:rowOff>104775</xdr:rowOff>
                  </from>
                  <to>
                    <xdr:col>2</xdr:col>
                    <xdr:colOff>838200</xdr:colOff>
                    <xdr:row>79</xdr:row>
                    <xdr:rowOff>38100</xdr:rowOff>
                  </to>
                </anchor>
              </controlPr>
            </control>
          </mc:Choice>
        </mc:AlternateContent>
        <mc:AlternateContent xmlns:mc="http://schemas.openxmlformats.org/markup-compatibility/2006">
          <mc:Choice Requires="x14">
            <control shapeId="1300" r:id="rId51" name="Check Box 276">
              <controlPr defaultSize="0" autoFill="0" autoLine="0" autoPict="0">
                <anchor moveWithCells="1">
                  <from>
                    <xdr:col>2</xdr:col>
                    <xdr:colOff>533400</xdr:colOff>
                    <xdr:row>75</xdr:row>
                    <xdr:rowOff>104775</xdr:rowOff>
                  </from>
                  <to>
                    <xdr:col>2</xdr:col>
                    <xdr:colOff>838200</xdr:colOff>
                    <xdr:row>77</xdr:row>
                    <xdr:rowOff>38100</xdr:rowOff>
                  </to>
                </anchor>
              </controlPr>
            </control>
          </mc:Choice>
        </mc:AlternateContent>
        <mc:AlternateContent xmlns:mc="http://schemas.openxmlformats.org/markup-compatibility/2006">
          <mc:Choice Requires="x14">
            <control shapeId="1385" r:id="rId52" name="Check Box 361">
              <controlPr defaultSize="0" autoFill="0" autoLine="0" autoPict="0">
                <anchor moveWithCells="1">
                  <from>
                    <xdr:col>8</xdr:col>
                    <xdr:colOff>57150</xdr:colOff>
                    <xdr:row>55</xdr:row>
                    <xdr:rowOff>104775</xdr:rowOff>
                  </from>
                  <to>
                    <xdr:col>9</xdr:col>
                    <xdr:colOff>28575</xdr:colOff>
                    <xdr:row>57</xdr:row>
                    <xdr:rowOff>38100</xdr:rowOff>
                  </to>
                </anchor>
              </controlPr>
            </control>
          </mc:Choice>
        </mc:AlternateContent>
        <mc:AlternateContent xmlns:mc="http://schemas.openxmlformats.org/markup-compatibility/2006">
          <mc:Choice Requires="x14">
            <control shapeId="1386" r:id="rId53" name="Check Box 362">
              <controlPr defaultSize="0" autoFill="0" autoLine="0" autoPict="0">
                <anchor moveWithCells="1">
                  <from>
                    <xdr:col>8</xdr:col>
                    <xdr:colOff>57150</xdr:colOff>
                    <xdr:row>53</xdr:row>
                    <xdr:rowOff>104775</xdr:rowOff>
                  </from>
                  <to>
                    <xdr:col>9</xdr:col>
                    <xdr:colOff>28575</xdr:colOff>
                    <xdr:row>55</xdr:row>
                    <xdr:rowOff>38100</xdr:rowOff>
                  </to>
                </anchor>
              </controlPr>
            </control>
          </mc:Choice>
        </mc:AlternateContent>
        <mc:AlternateContent xmlns:mc="http://schemas.openxmlformats.org/markup-compatibility/2006">
          <mc:Choice Requires="x14">
            <control shapeId="1387" r:id="rId54" name="Check Box 363">
              <controlPr defaultSize="0" autoFill="0" autoLine="0" autoPict="0">
                <anchor moveWithCells="1">
                  <from>
                    <xdr:col>8</xdr:col>
                    <xdr:colOff>57150</xdr:colOff>
                    <xdr:row>54</xdr:row>
                    <xdr:rowOff>104775</xdr:rowOff>
                  </from>
                  <to>
                    <xdr:col>9</xdr:col>
                    <xdr:colOff>28575</xdr:colOff>
                    <xdr:row>56</xdr:row>
                    <xdr:rowOff>38100</xdr:rowOff>
                  </to>
                </anchor>
              </controlPr>
            </control>
          </mc:Choice>
        </mc:AlternateContent>
        <mc:AlternateContent xmlns:mc="http://schemas.openxmlformats.org/markup-compatibility/2006">
          <mc:Choice Requires="x14">
            <control shapeId="1389" r:id="rId55" name="Check Box 365">
              <controlPr defaultSize="0" autoFill="0" autoLine="0" autoPict="0">
                <anchor moveWithCells="1">
                  <from>
                    <xdr:col>8</xdr:col>
                    <xdr:colOff>57150</xdr:colOff>
                    <xdr:row>56</xdr:row>
                    <xdr:rowOff>104775</xdr:rowOff>
                  </from>
                  <to>
                    <xdr:col>9</xdr:col>
                    <xdr:colOff>28575</xdr:colOff>
                    <xdr:row>58</xdr:row>
                    <xdr:rowOff>38100</xdr:rowOff>
                  </to>
                </anchor>
              </controlPr>
            </control>
          </mc:Choice>
        </mc:AlternateContent>
        <mc:AlternateContent xmlns:mc="http://schemas.openxmlformats.org/markup-compatibility/2006">
          <mc:Choice Requires="x14">
            <control shapeId="1392" r:id="rId56" name="Check Box 368">
              <controlPr defaultSize="0" autoFill="0" autoLine="0" autoPict="0">
                <anchor moveWithCells="1">
                  <from>
                    <xdr:col>4</xdr:col>
                    <xdr:colOff>104775</xdr:colOff>
                    <xdr:row>75</xdr:row>
                    <xdr:rowOff>104775</xdr:rowOff>
                  </from>
                  <to>
                    <xdr:col>5</xdr:col>
                    <xdr:colOff>0</xdr:colOff>
                    <xdr:row>77</xdr:row>
                    <xdr:rowOff>38100</xdr:rowOff>
                  </to>
                </anchor>
              </controlPr>
            </control>
          </mc:Choice>
        </mc:AlternateContent>
        <mc:AlternateContent xmlns:mc="http://schemas.openxmlformats.org/markup-compatibility/2006">
          <mc:Choice Requires="x14">
            <control shapeId="1400" r:id="rId57" name="Check Box 376">
              <controlPr defaultSize="0" autoFill="0" autoLine="0" autoPict="0">
                <anchor moveWithCells="1">
                  <from>
                    <xdr:col>4</xdr:col>
                    <xdr:colOff>104775</xdr:colOff>
                    <xdr:row>78</xdr:row>
                    <xdr:rowOff>104775</xdr:rowOff>
                  </from>
                  <to>
                    <xdr:col>5</xdr:col>
                    <xdr:colOff>0</xdr:colOff>
                    <xdr:row>80</xdr:row>
                    <xdr:rowOff>38100</xdr:rowOff>
                  </to>
                </anchor>
              </controlPr>
            </control>
          </mc:Choice>
        </mc:AlternateContent>
        <mc:AlternateContent xmlns:mc="http://schemas.openxmlformats.org/markup-compatibility/2006">
          <mc:Choice Requires="x14">
            <control shapeId="1404" r:id="rId58" name="Check Box 380">
              <controlPr defaultSize="0" autoFill="0" autoLine="0" autoPict="0">
                <anchor moveWithCells="1">
                  <from>
                    <xdr:col>4</xdr:col>
                    <xdr:colOff>104775</xdr:colOff>
                    <xdr:row>69</xdr:row>
                    <xdr:rowOff>104775</xdr:rowOff>
                  </from>
                  <to>
                    <xdr:col>5</xdr:col>
                    <xdr:colOff>0</xdr:colOff>
                    <xdr:row>71</xdr:row>
                    <xdr:rowOff>38100</xdr:rowOff>
                  </to>
                </anchor>
              </controlPr>
            </control>
          </mc:Choice>
        </mc:AlternateContent>
        <mc:AlternateContent xmlns:mc="http://schemas.openxmlformats.org/markup-compatibility/2006">
          <mc:Choice Requires="x14">
            <control shapeId="1405" r:id="rId59" name="Check Box 381">
              <controlPr defaultSize="0" autoFill="0" autoLine="0" autoPict="0">
                <anchor moveWithCells="1">
                  <from>
                    <xdr:col>4</xdr:col>
                    <xdr:colOff>104775</xdr:colOff>
                    <xdr:row>70</xdr:row>
                    <xdr:rowOff>104775</xdr:rowOff>
                  </from>
                  <to>
                    <xdr:col>5</xdr:col>
                    <xdr:colOff>0</xdr:colOff>
                    <xdr:row>72</xdr:row>
                    <xdr:rowOff>38100</xdr:rowOff>
                  </to>
                </anchor>
              </controlPr>
            </control>
          </mc:Choice>
        </mc:AlternateContent>
        <mc:AlternateContent xmlns:mc="http://schemas.openxmlformats.org/markup-compatibility/2006">
          <mc:Choice Requires="x14">
            <control shapeId="1411" r:id="rId60" name="Check Box 387">
              <controlPr defaultSize="0" autoFill="0" autoLine="0" autoPict="0">
                <anchor moveWithCells="1">
                  <from>
                    <xdr:col>4</xdr:col>
                    <xdr:colOff>104775</xdr:colOff>
                    <xdr:row>71</xdr:row>
                    <xdr:rowOff>104775</xdr:rowOff>
                  </from>
                  <to>
                    <xdr:col>5</xdr:col>
                    <xdr:colOff>0</xdr:colOff>
                    <xdr:row>73</xdr:row>
                    <xdr:rowOff>38100</xdr:rowOff>
                  </to>
                </anchor>
              </controlPr>
            </control>
          </mc:Choice>
        </mc:AlternateContent>
        <mc:AlternateContent xmlns:mc="http://schemas.openxmlformats.org/markup-compatibility/2006">
          <mc:Choice Requires="x14">
            <control shapeId="1414" r:id="rId61" name="Check Box 390">
              <controlPr defaultSize="0" autoFill="0" autoLine="0" autoPict="0">
                <anchor moveWithCells="1">
                  <from>
                    <xdr:col>4</xdr:col>
                    <xdr:colOff>114300</xdr:colOff>
                    <xdr:row>67</xdr:row>
                    <xdr:rowOff>104775</xdr:rowOff>
                  </from>
                  <to>
                    <xdr:col>5</xdr:col>
                    <xdr:colOff>9525</xdr:colOff>
                    <xdr:row>69</xdr:row>
                    <xdr:rowOff>38100</xdr:rowOff>
                  </to>
                </anchor>
              </controlPr>
            </control>
          </mc:Choice>
        </mc:AlternateContent>
        <mc:AlternateContent xmlns:mc="http://schemas.openxmlformats.org/markup-compatibility/2006">
          <mc:Choice Requires="x14">
            <control shapeId="1418" r:id="rId62" name="Check Box 394">
              <controlPr defaultSize="0" autoFill="0" autoLine="0" autoPict="0">
                <anchor moveWithCells="1">
                  <from>
                    <xdr:col>4</xdr:col>
                    <xdr:colOff>104775</xdr:colOff>
                    <xdr:row>72</xdr:row>
                    <xdr:rowOff>104775</xdr:rowOff>
                  </from>
                  <to>
                    <xdr:col>5</xdr:col>
                    <xdr:colOff>0</xdr:colOff>
                    <xdr:row>74</xdr:row>
                    <xdr:rowOff>38100</xdr:rowOff>
                  </to>
                </anchor>
              </controlPr>
            </control>
          </mc:Choice>
        </mc:AlternateContent>
        <mc:AlternateContent xmlns:mc="http://schemas.openxmlformats.org/markup-compatibility/2006">
          <mc:Choice Requires="x14">
            <control shapeId="1419" r:id="rId63" name="Check Box 395">
              <controlPr defaultSize="0" autoFill="0" autoLine="0" autoPict="0">
                <anchor moveWithCells="1">
                  <from>
                    <xdr:col>4</xdr:col>
                    <xdr:colOff>104775</xdr:colOff>
                    <xdr:row>73</xdr:row>
                    <xdr:rowOff>104775</xdr:rowOff>
                  </from>
                  <to>
                    <xdr:col>5</xdr:col>
                    <xdr:colOff>0</xdr:colOff>
                    <xdr:row>75</xdr:row>
                    <xdr:rowOff>38100</xdr:rowOff>
                  </to>
                </anchor>
              </controlPr>
            </control>
          </mc:Choice>
        </mc:AlternateContent>
        <mc:AlternateContent xmlns:mc="http://schemas.openxmlformats.org/markup-compatibility/2006">
          <mc:Choice Requires="x14">
            <control shapeId="1433" r:id="rId64" name="Check Box 409">
              <controlPr defaultSize="0" autoFill="0" autoLine="0" autoPict="0">
                <anchor moveWithCells="1">
                  <from>
                    <xdr:col>2</xdr:col>
                    <xdr:colOff>533400</xdr:colOff>
                    <xdr:row>73</xdr:row>
                    <xdr:rowOff>104775</xdr:rowOff>
                  </from>
                  <to>
                    <xdr:col>2</xdr:col>
                    <xdr:colOff>838200</xdr:colOff>
                    <xdr:row>75</xdr:row>
                    <xdr:rowOff>38100</xdr:rowOff>
                  </to>
                </anchor>
              </controlPr>
            </control>
          </mc:Choice>
        </mc:AlternateContent>
        <mc:AlternateContent xmlns:mc="http://schemas.openxmlformats.org/markup-compatibility/2006">
          <mc:Choice Requires="x14">
            <control shapeId="1440" r:id="rId65" name="Check Box 416">
              <controlPr defaultSize="0" autoFill="0" autoLine="0" autoPict="0">
                <anchor moveWithCells="1">
                  <from>
                    <xdr:col>4</xdr:col>
                    <xdr:colOff>104775</xdr:colOff>
                    <xdr:row>79</xdr:row>
                    <xdr:rowOff>104775</xdr:rowOff>
                  </from>
                  <to>
                    <xdr:col>5</xdr:col>
                    <xdr:colOff>0</xdr:colOff>
                    <xdr:row>81</xdr:row>
                    <xdr:rowOff>38100</xdr:rowOff>
                  </to>
                </anchor>
              </controlPr>
            </control>
          </mc:Choice>
        </mc:AlternateContent>
        <mc:AlternateContent xmlns:mc="http://schemas.openxmlformats.org/markup-compatibility/2006">
          <mc:Choice Requires="x14">
            <control shapeId="1451" r:id="rId66" name="Check Box 427">
              <controlPr defaultSize="0" autoFill="0" autoLine="0" autoPict="0">
                <anchor moveWithCells="1">
                  <from>
                    <xdr:col>10</xdr:col>
                    <xdr:colOff>104775</xdr:colOff>
                    <xdr:row>53</xdr:row>
                    <xdr:rowOff>104775</xdr:rowOff>
                  </from>
                  <to>
                    <xdr:col>10</xdr:col>
                    <xdr:colOff>409575</xdr:colOff>
                    <xdr:row>55</xdr:row>
                    <xdr:rowOff>38100</xdr:rowOff>
                  </to>
                </anchor>
              </controlPr>
            </control>
          </mc:Choice>
        </mc:AlternateContent>
        <mc:AlternateContent xmlns:mc="http://schemas.openxmlformats.org/markup-compatibility/2006">
          <mc:Choice Requires="x14">
            <control shapeId="1464" r:id="rId67" name="Check Box 440">
              <controlPr defaultSize="0" autoFill="0" autoLine="0" autoPict="0">
                <anchor moveWithCells="1">
                  <from>
                    <xdr:col>4</xdr:col>
                    <xdr:colOff>114300</xdr:colOff>
                    <xdr:row>64</xdr:row>
                    <xdr:rowOff>104775</xdr:rowOff>
                  </from>
                  <to>
                    <xdr:col>5</xdr:col>
                    <xdr:colOff>9525</xdr:colOff>
                    <xdr:row>66</xdr:row>
                    <xdr:rowOff>38100</xdr:rowOff>
                  </to>
                </anchor>
              </controlPr>
            </control>
          </mc:Choice>
        </mc:AlternateContent>
        <mc:AlternateContent xmlns:mc="http://schemas.openxmlformats.org/markup-compatibility/2006">
          <mc:Choice Requires="x14">
            <control shapeId="1465" r:id="rId68" name="Check Box 441">
              <controlPr defaultSize="0" autoFill="0" autoLine="0" autoPict="0">
                <anchor moveWithCells="1">
                  <from>
                    <xdr:col>4</xdr:col>
                    <xdr:colOff>114300</xdr:colOff>
                    <xdr:row>63</xdr:row>
                    <xdr:rowOff>104775</xdr:rowOff>
                  </from>
                  <to>
                    <xdr:col>5</xdr:col>
                    <xdr:colOff>9525</xdr:colOff>
                    <xdr:row>65</xdr:row>
                    <xdr:rowOff>38100</xdr:rowOff>
                  </to>
                </anchor>
              </controlPr>
            </control>
          </mc:Choice>
        </mc:AlternateContent>
        <mc:AlternateContent xmlns:mc="http://schemas.openxmlformats.org/markup-compatibility/2006">
          <mc:Choice Requires="x14">
            <control shapeId="1469" r:id="rId69" name="Check Box 445">
              <controlPr defaultSize="0" autoFill="0" autoLine="0" autoPict="0">
                <anchor moveWithCells="1">
                  <from>
                    <xdr:col>4</xdr:col>
                    <xdr:colOff>104775</xdr:colOff>
                    <xdr:row>80</xdr:row>
                    <xdr:rowOff>95250</xdr:rowOff>
                  </from>
                  <to>
                    <xdr:col>5</xdr:col>
                    <xdr:colOff>0</xdr:colOff>
                    <xdr:row>82</xdr:row>
                    <xdr:rowOff>28575</xdr:rowOff>
                  </to>
                </anchor>
              </controlPr>
            </control>
          </mc:Choice>
        </mc:AlternateContent>
        <mc:AlternateContent xmlns:mc="http://schemas.openxmlformats.org/markup-compatibility/2006">
          <mc:Choice Requires="x14">
            <control shapeId="1474" r:id="rId70" name="Check Box 450">
              <controlPr defaultSize="0" autoFill="0" autoLine="0" autoPict="0">
                <anchor moveWithCells="1">
                  <from>
                    <xdr:col>8</xdr:col>
                    <xdr:colOff>57150</xdr:colOff>
                    <xdr:row>57</xdr:row>
                    <xdr:rowOff>104775</xdr:rowOff>
                  </from>
                  <to>
                    <xdr:col>9</xdr:col>
                    <xdr:colOff>28575</xdr:colOff>
                    <xdr:row>59</xdr:row>
                    <xdr:rowOff>38100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1B000000}">
          <x14:formula1>
            <xm:f>'Server Specific'!$B$3:$B$5</xm:f>
          </x14:formula1>
          <xm:sqref>C2:C3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0"/>
  <dimension ref="A1:O89"/>
  <sheetViews>
    <sheetView topLeftCell="A61" workbookViewId="0">
      <selection activeCell="D82" sqref="D82"/>
    </sheetView>
  </sheetViews>
  <sheetFormatPr defaultRowHeight="12.75" x14ac:dyDescent="0.2"/>
  <cols>
    <col min="1" max="1" width="20.5703125" bestFit="1" customWidth="1"/>
    <col min="2" max="2" width="12.42578125" bestFit="1" customWidth="1"/>
    <col min="4" max="4" width="21" customWidth="1"/>
    <col min="5" max="5" width="12.42578125" bestFit="1" customWidth="1"/>
    <col min="7" max="7" width="10" customWidth="1"/>
    <col min="9" max="9" width="11" customWidth="1"/>
    <col min="10" max="10" width="14.7109375" customWidth="1"/>
  </cols>
  <sheetData>
    <row r="1" spans="1:14" x14ac:dyDescent="0.2">
      <c r="A1" s="6" t="s">
        <v>835</v>
      </c>
      <c r="D1" s="6" t="s">
        <v>836</v>
      </c>
      <c r="G1" s="13" t="s">
        <v>1203</v>
      </c>
      <c r="J1" s="13" t="s">
        <v>1204</v>
      </c>
      <c r="M1" s="170" t="s">
        <v>505</v>
      </c>
      <c r="N1" s="170"/>
    </row>
    <row r="2" spans="1:14" x14ac:dyDescent="0.2">
      <c r="A2" t="s">
        <v>502</v>
      </c>
      <c r="B2">
        <f>MAX(BaseMiss+IF(BaseOHDamage&gt;0,19,0)-NetHit,0)</f>
        <v>16.399999999999999</v>
      </c>
      <c r="D2" t="s">
        <v>502</v>
      </c>
      <c r="E2">
        <f>MAX(BaseOHMiss+IF(BaseOHDamage&gt;0,19,0)-NetHit,0)</f>
        <v>16.399999999999999</v>
      </c>
      <c r="G2" t="s">
        <v>502</v>
      </c>
      <c r="H2">
        <v>0</v>
      </c>
      <c r="J2" t="s">
        <v>502</v>
      </c>
      <c r="K2">
        <v>0</v>
      </c>
      <c r="M2" s="12" t="s">
        <v>930</v>
      </c>
      <c r="N2" s="12" t="s">
        <v>764</v>
      </c>
    </row>
    <row r="3" spans="1:14" x14ac:dyDescent="0.2">
      <c r="A3" t="s">
        <v>503</v>
      </c>
      <c r="B3">
        <f>IF(100-B4-B2-B5-B6-B7-B8&lt;0.00001,0,100-B4-B2-B5-B6-B7-B8)</f>
        <v>0.3625000000000016</v>
      </c>
      <c r="D3" t="s">
        <v>503</v>
      </c>
      <c r="E3">
        <f>IF(100-E4-E2-E5-E6-E7-E8&lt;0.00001,0,100-E4-E2-E5-E6-E7-E8)</f>
        <v>0.3625000000000016</v>
      </c>
      <c r="G3" t="s">
        <v>503</v>
      </c>
      <c r="H3">
        <v>0</v>
      </c>
      <c r="J3" t="s">
        <v>503</v>
      </c>
      <c r="K3">
        <v>0</v>
      </c>
      <c r="M3">
        <v>15</v>
      </c>
      <c r="N3">
        <v>0.65</v>
      </c>
    </row>
    <row r="4" spans="1:14" x14ac:dyDescent="0.2">
      <c r="A4" t="s">
        <v>504</v>
      </c>
      <c r="B4">
        <f>MIN(NetCrit-0.2*(EnemyLevel-60),100-WhiteMisses-WhiteGlancingBlows-WhiteDodges)</f>
        <v>37.797499999999999</v>
      </c>
      <c r="D4" t="s">
        <v>504</v>
      </c>
      <c r="E4">
        <f>MIN(NetOHCrit-0.2*(EnemyLevel-60),100-WhiteOHMisses-WhiteOHGlancing-WhiteOHDodges)</f>
        <v>37.797499999999999</v>
      </c>
      <c r="G4" t="s">
        <v>504</v>
      </c>
      <c r="H4">
        <f>100-H7-H5</f>
        <v>54.56</v>
      </c>
      <c r="J4" t="s">
        <v>504</v>
      </c>
      <c r="K4">
        <f>100-K7-K5</f>
        <v>54.56</v>
      </c>
      <c r="M4">
        <v>14</v>
      </c>
      <c r="N4">
        <v>0.70179999999999998</v>
      </c>
    </row>
    <row r="5" spans="1:14" x14ac:dyDescent="0.2">
      <c r="A5" t="s">
        <v>505</v>
      </c>
      <c r="B5">
        <f>MAX(MIN(40,10+(EnemyLevel-60)*10),0)</f>
        <v>40</v>
      </c>
      <c r="D5" t="s">
        <v>505</v>
      </c>
      <c r="E5">
        <f>MAX(MIN(40,10+(EnemyLevel-60)*10),0)</f>
        <v>40</v>
      </c>
      <c r="G5" t="s">
        <v>505</v>
      </c>
      <c r="H5">
        <f>MAX(MIN(40,10+(EnemyLevel-60)*10),0)</f>
        <v>40</v>
      </c>
      <c r="J5" t="s">
        <v>505</v>
      </c>
      <c r="K5">
        <f>MAX(MIN(40,10+(EnemyLevel-60)*10),0)</f>
        <v>40</v>
      </c>
      <c r="M5">
        <v>13</v>
      </c>
      <c r="N5">
        <v>0.74690000000000001</v>
      </c>
    </row>
    <row r="6" spans="1:14" x14ac:dyDescent="0.2">
      <c r="A6" t="s">
        <v>506</v>
      </c>
      <c r="B6">
        <v>0</v>
      </c>
      <c r="D6" t="s">
        <v>506</v>
      </c>
      <c r="E6">
        <v>0</v>
      </c>
      <c r="G6" t="s">
        <v>506</v>
      </c>
      <c r="H6">
        <v>0</v>
      </c>
      <c r="J6" t="s">
        <v>506</v>
      </c>
      <c r="K6">
        <v>0</v>
      </c>
      <c r="M6">
        <v>12</v>
      </c>
      <c r="N6">
        <v>0.78600000000000003</v>
      </c>
    </row>
    <row r="7" spans="1:14" x14ac:dyDescent="0.2">
      <c r="A7" t="s">
        <v>507</v>
      </c>
      <c r="B7">
        <f>MAX(5+0.04*SkillDiffMH,0)</f>
        <v>5.44</v>
      </c>
      <c r="D7" t="s">
        <v>507</v>
      </c>
      <c r="E7">
        <f>MAX(5+0.04*SkillDiffOH,0)</f>
        <v>5.44</v>
      </c>
      <c r="G7" t="s">
        <v>507</v>
      </c>
      <c r="H7">
        <f>MAX(5+0.04*SkillDiffMH,0)</f>
        <v>5.44</v>
      </c>
      <c r="J7" t="s">
        <v>507</v>
      </c>
      <c r="K7">
        <f>MAX(5+0.04*SkillDiffOH,0)</f>
        <v>5.44</v>
      </c>
      <c r="M7">
        <v>11</v>
      </c>
      <c r="N7">
        <v>0.82030000000000003</v>
      </c>
    </row>
    <row r="8" spans="1:14" x14ac:dyDescent="0.2">
      <c r="A8" t="s">
        <v>508</v>
      </c>
      <c r="B8">
        <v>0</v>
      </c>
      <c r="D8" t="s">
        <v>508</v>
      </c>
      <c r="E8">
        <v>0</v>
      </c>
      <c r="G8" t="s">
        <v>508</v>
      </c>
      <c r="H8">
        <v>0</v>
      </c>
      <c r="J8" t="s">
        <v>508</v>
      </c>
      <c r="K8">
        <v>0</v>
      </c>
      <c r="M8">
        <v>10</v>
      </c>
      <c r="N8">
        <v>0.85</v>
      </c>
    </row>
    <row r="9" spans="1:14" x14ac:dyDescent="0.2">
      <c r="M9">
        <v>9</v>
      </c>
      <c r="N9">
        <v>0.87590000000000001</v>
      </c>
    </row>
    <row r="10" spans="1:14" x14ac:dyDescent="0.2">
      <c r="A10" s="6" t="s">
        <v>837</v>
      </c>
      <c r="D10" s="13" t="s">
        <v>961</v>
      </c>
      <c r="G10" s="13" t="s">
        <v>1037</v>
      </c>
      <c r="J10" s="13" t="s">
        <v>1205</v>
      </c>
      <c r="M10">
        <v>8</v>
      </c>
      <c r="N10">
        <v>0.89839999999999998</v>
      </c>
    </row>
    <row r="11" spans="1:14" x14ac:dyDescent="0.2">
      <c r="A11" t="s">
        <v>502</v>
      </c>
      <c r="B11">
        <f>MAX(BaseMiss-NetHit,0)</f>
        <v>0</v>
      </c>
      <c r="D11" s="11" t="s">
        <v>502</v>
      </c>
      <c r="E11">
        <f>MAX(IF(EnemyLevel*5-300&gt;10,6.6+(EnemyLevel*5-300-10)*0.4,5.6+(EnemyLevel*5-300)*0.1)-NetHit,0)</f>
        <v>0</v>
      </c>
      <c r="G11" s="11" t="s">
        <v>502</v>
      </c>
      <c r="H11">
        <f>MAX(BaseMiss-NetHit,0)</f>
        <v>0</v>
      </c>
      <c r="J11" t="s">
        <v>502</v>
      </c>
      <c r="K11">
        <v>0</v>
      </c>
      <c r="M11">
        <v>7</v>
      </c>
      <c r="N11">
        <v>0.91800000000000004</v>
      </c>
    </row>
    <row r="12" spans="1:14" x14ac:dyDescent="0.2">
      <c r="A12" t="s">
        <v>503</v>
      </c>
      <c r="B12">
        <f>IF(100-B11-B13-B14-B15-B16&lt;0.00001,0,100-B11-B13-B14-B15-B16)</f>
        <v>56.762500000000003</v>
      </c>
      <c r="D12" s="11" t="s">
        <v>503</v>
      </c>
      <c r="E12">
        <f>IF(100-E11-E13-E14-E15-E16&lt;0.00001,0,100-E11-E13-E14-E15-E16)</f>
        <v>56.762499999999996</v>
      </c>
      <c r="G12" s="11" t="s">
        <v>503</v>
      </c>
      <c r="H12">
        <f>IF(100-H11-H13-H14-H15-H16&lt;0.00001,0,100-H11-H13-H14-H15-H16)</f>
        <v>12.202500000000001</v>
      </c>
      <c r="J12" t="s">
        <v>503</v>
      </c>
      <c r="K12">
        <v>0</v>
      </c>
      <c r="M12">
        <v>6</v>
      </c>
      <c r="N12">
        <v>0.93510000000000004</v>
      </c>
    </row>
    <row r="13" spans="1:14" x14ac:dyDescent="0.2">
      <c r="A13" t="s">
        <v>504</v>
      </c>
      <c r="B13">
        <f>MIN(NetCrit-0.2*(EnemyLevel-60),100-YellowDodges-YellowMisses)</f>
        <v>37.797499999999999</v>
      </c>
      <c r="D13" s="11" t="s">
        <v>504</v>
      </c>
      <c r="E13">
        <f>MIN(NetCrit-0.2*(EnemyLevel-60)-DPS!O36*0.04,100-E15-E11)</f>
        <v>37.637500000000003</v>
      </c>
      <c r="G13" s="11" t="s">
        <v>504</v>
      </c>
      <c r="H13">
        <f>MIN(NetCrit-0.2*(EnemyLevel-60)+ImpOP*25,100)</f>
        <v>87.797499999999999</v>
      </c>
      <c r="J13" t="s">
        <v>504</v>
      </c>
      <c r="K13">
        <f>100-K15</f>
        <v>94.56</v>
      </c>
      <c r="M13">
        <v>5</v>
      </c>
      <c r="N13">
        <v>0.95</v>
      </c>
    </row>
    <row r="14" spans="1:14" x14ac:dyDescent="0.2">
      <c r="A14" t="s">
        <v>506</v>
      </c>
      <c r="B14">
        <v>0</v>
      </c>
      <c r="D14" s="11" t="s">
        <v>506</v>
      </c>
      <c r="E14">
        <v>0</v>
      </c>
      <c r="G14" s="11" t="s">
        <v>506</v>
      </c>
      <c r="H14">
        <v>0</v>
      </c>
      <c r="J14" t="s">
        <v>506</v>
      </c>
      <c r="K14">
        <v>0</v>
      </c>
      <c r="M14">
        <v>4</v>
      </c>
      <c r="N14">
        <v>0.96289999999999998</v>
      </c>
    </row>
    <row r="15" spans="1:14" x14ac:dyDescent="0.2">
      <c r="A15" t="s">
        <v>507</v>
      </c>
      <c r="B15">
        <f>MAX(5+0.04*SkillDiffMH,0)</f>
        <v>5.44</v>
      </c>
      <c r="D15" s="11" t="s">
        <v>507</v>
      </c>
      <c r="E15">
        <f>MAX(5+0.2*(EnemyLevel-60),0)</f>
        <v>5.6</v>
      </c>
      <c r="G15" s="11" t="s">
        <v>507</v>
      </c>
      <c r="H15">
        <v>0</v>
      </c>
      <c r="J15" t="s">
        <v>507</v>
      </c>
      <c r="K15">
        <f>MAX(5+0.04*SkillDiffMH,0)</f>
        <v>5.44</v>
      </c>
      <c r="M15">
        <v>3</v>
      </c>
      <c r="N15">
        <v>0.97419999999999995</v>
      </c>
    </row>
    <row r="16" spans="1:14" x14ac:dyDescent="0.2">
      <c r="A16" t="s">
        <v>508</v>
      </c>
      <c r="B16">
        <v>0</v>
      </c>
      <c r="D16" s="11" t="s">
        <v>508</v>
      </c>
      <c r="E16">
        <v>0</v>
      </c>
      <c r="G16" s="11" t="s">
        <v>508</v>
      </c>
      <c r="H16">
        <v>0</v>
      </c>
      <c r="J16" t="s">
        <v>508</v>
      </c>
      <c r="K16">
        <v>0</v>
      </c>
      <c r="M16">
        <v>2</v>
      </c>
      <c r="N16">
        <v>0.98399999999999999</v>
      </c>
    </row>
    <row r="17" spans="1:14" x14ac:dyDescent="0.2">
      <c r="M17">
        <v>1</v>
      </c>
      <c r="N17">
        <v>0.99260000000000004</v>
      </c>
    </row>
    <row r="18" spans="1:14" x14ac:dyDescent="0.2">
      <c r="M18">
        <v>0</v>
      </c>
      <c r="N18">
        <v>1</v>
      </c>
    </row>
    <row r="19" spans="1:14" x14ac:dyDescent="0.2">
      <c r="B19" s="8">
        <v>0.8</v>
      </c>
      <c r="C19" s="8">
        <v>0.2</v>
      </c>
      <c r="E19" s="115" t="s">
        <v>1081</v>
      </c>
      <c r="F19" s="115" t="s">
        <v>1082</v>
      </c>
      <c r="G19" s="115" t="s">
        <v>412</v>
      </c>
    </row>
    <row r="20" spans="1:14" x14ac:dyDescent="0.2">
      <c r="A20" s="6" t="s">
        <v>578</v>
      </c>
      <c r="B20">
        <f ca="1">(1/IF(FinalSpeed=0,1,FinalSpeed))-1/HSCD*DPS!M44-1/SlamCD*(1.5-0.1*ImpSlam)/FinalSpeed*DPS!M43-1/CleaveCD*DPS!M45</f>
        <v>0.31064307146905334</v>
      </c>
      <c r="C20">
        <f ca="1">1/IF(FinalSpeed20=0,1,FinalSpeed20)</f>
        <v>0.66429140463448288</v>
      </c>
      <c r="D20" s="12" t="s">
        <v>939</v>
      </c>
      <c r="E20">
        <f>IF((VLOOKUP(DPS!C27,DWWeaponStats,13, FALSE)+VLOOKUP(DPS!C27,DWWeaponStats,14, FALSE))/2&gt;0,(VLOOKUP(DPS!C27,DWWeaponStats,13, FALSE)+VLOOKUP(DPS!C27,DWWeaponStats,14, FALSE))/2+IF(DPS!C28="Superior Striking",5,0)+IF(BaseMHSpeed=0,0,DPS!E55*8)+IF(OR(DPS!C23="Might of Cenarius",DPS!C24="Might of Cenarius"),4,0)+IF(DPS!C7="Blazefury Medallion",2,0)+DPS!E69,0)</f>
        <v>102.5</v>
      </c>
      <c r="F20">
        <f>IF((VLOOKUP(DPS!C29,DWWeaponStats,13, FALSE)+VLOOKUP(DPS!C29,DWWeaponStats,14, FALSE))/2&gt;0,(VLOOKUP(DPS!C29,DWWeaponStats,13, FALSE)+VLOOKUP(DPS!C29,DWWeaponStats,14, FALSE))/2+IF(DPS!C30="Superior Striking",5,0)+IF(BaseMHSpeed=0,0,DPS!F55*8)+IF(OR(DPS!C23="Might of Cenarius",DPS!C24="Might of Cenarius"),4,0)+IF(DPS!C7="Blazefury Medallion",2,0)+DPS!E69,0)</f>
        <v>132</v>
      </c>
      <c r="G20">
        <f>IF(Base2HSpeed=0,0,((VLOOKUP(DPS!C31,THWeaponStats,13,FALSE)+VLOOKUP(DPS!C31,THWeaponStats,14,FALSE))/2+IF(DPS!C32="Superior Striking",5,0)+DPS!E55*8+DPS!E69))</f>
        <v>0</v>
      </c>
    </row>
    <row r="21" spans="1:14" x14ac:dyDescent="0.2">
      <c r="A21" s="6" t="s">
        <v>579</v>
      </c>
      <c r="B21">
        <f ca="1">DPS!M46/WWCD+DPS!M41/BTCD+DPS!M42/MSCD+DPS!M43/SlamCD+DPS!M47/OverpowerCD+DPS!M48/HamstringCD+DPS!M44/HSCD+DPS!M45/CleaveCD</f>
        <v>0.59514169228418223</v>
      </c>
      <c r="C21">
        <f ca="1">DPS!M49/IF(ExeCD=0,1,ExeCD)</f>
        <v>0.56142426070589158</v>
      </c>
      <c r="D21" s="12" t="s">
        <v>940</v>
      </c>
      <c r="E21">
        <f>VLOOKUP(DPS!C27,DWWeaponStats,15, FALSE)</f>
        <v>1.9</v>
      </c>
      <c r="F21">
        <f>VLOOKUP(DPS!C29,DWWeaponStats,15, FALSE)</f>
        <v>2.2000000000000002</v>
      </c>
      <c r="G21">
        <f>VLOOKUP(DPS!C31,THWeaponStats,15, FALSE)</f>
        <v>0</v>
      </c>
    </row>
    <row r="22" spans="1:14" x14ac:dyDescent="0.2">
      <c r="A22" s="6" t="s">
        <v>580</v>
      </c>
      <c r="B22">
        <f ca="1">IF(BaseOHSpeed=0,0,(1/IF(FinalOHSpeed=0,1,FinalOHSpeed))-1/SlamCD*(1.5-0.1*ImpSlam)/FinalOHSpeed*DPS!M43)</f>
        <v>0.56635956869597615</v>
      </c>
      <c r="C22">
        <f ca="1">IF(BaseOHSpeed=0,0,1/IF(FinalOHSpeed20=0,1,FinalOHSpeed20))</f>
        <v>0.57370621309341685</v>
      </c>
      <c r="D22" s="12" t="s">
        <v>1153</v>
      </c>
      <c r="E22">
        <f ca="1">BaseMHSpeed/(1+NetHaste)</f>
        <v>1.5248906126747039</v>
      </c>
      <c r="F22">
        <f ca="1">IF(BaseOHSpeed/(1+NetHaste)=0,1,BaseOHSpeed/(1+NetHaste))</f>
        <v>1.7656628146759732</v>
      </c>
      <c r="G22">
        <f ca="1">Base2HSpeed/(1+NetHaste)</f>
        <v>0</v>
      </c>
    </row>
    <row r="23" spans="1:14" x14ac:dyDescent="0.2">
      <c r="A23" s="6" t="s">
        <v>1217</v>
      </c>
      <c r="B23">
        <f ca="1">WhiteMHSwings+DPS!M44/HSCD+DPS!M45/CleaveCD+DPS!M43/SlamCD</f>
        <v>0.65578476375323558</v>
      </c>
      <c r="C23">
        <f ca="1">WhiteMHSwings20</f>
        <v>0.66429140463448288</v>
      </c>
    </row>
    <row r="24" spans="1:14" x14ac:dyDescent="0.2">
      <c r="A24" s="6" t="s">
        <v>581</v>
      </c>
      <c r="B24">
        <f ca="1">DPS!C74*((WhiteMHConnects+YellowConnects)*0.2)</f>
        <v>0</v>
      </c>
      <c r="C24">
        <f ca="1">DPS!C74*((WhiteMHConnects20+YellowConnects20)*0.2)</f>
        <v>0</v>
      </c>
      <c r="D24" s="6" t="s">
        <v>939</v>
      </c>
      <c r="E24">
        <f>IF(BaseMHDamage=0,Base2HDamage,BaseMHDamage)</f>
        <v>102.5</v>
      </c>
    </row>
    <row r="25" spans="1:14" x14ac:dyDescent="0.2">
      <c r="A25" s="6" t="s">
        <v>582</v>
      </c>
      <c r="B25">
        <f>(IF(DPS!C25="Hand of Justice",(WhiteOHConnects+WhiteMHConnects+YellowConnects)*0.02,0)+IF(DPS!C26="Hand of Justice",(WhiteOHConnects+WhiteMHConnects+YellowConnects)*0.02,0))</f>
        <v>0</v>
      </c>
      <c r="C25">
        <f>(IF(DPS!C25="Hand of Justice",(WhiteOHConnects20+WhiteMHConnects20+YellowConnects20)*0.02,0)+IF(DPS!C26="Hand of Justice",(WhiteOHConnects20+WhiteMHConnects20+YellowConnects20)*0.02,0))</f>
        <v>0</v>
      </c>
      <c r="D25" s="6" t="s">
        <v>940</v>
      </c>
      <c r="E25">
        <f>IF(BaseMHSpeed=0,Base2HSpeed,BaseMHSpeed)</f>
        <v>1.9</v>
      </c>
    </row>
    <row r="26" spans="1:14" x14ac:dyDescent="0.2">
      <c r="A26" s="6" t="s">
        <v>583</v>
      </c>
      <c r="B26">
        <f ca="1">((WhiteOHConnects+WhiteMHConnects+YellowConnects)*0.01*DPS!I78)</f>
        <v>0</v>
      </c>
      <c r="C26">
        <f ca="1">((WhiteOHConnects20+WhiteMHConnects20+YellowConnects20)*0.01*DPS!I78)</f>
        <v>0</v>
      </c>
      <c r="D26" s="6" t="s">
        <v>941</v>
      </c>
      <c r="E26">
        <f>IF(BaseMHDamage=0,3.3,IF(DPS!D27="Dagger",1.7,2.4))</f>
        <v>2.4</v>
      </c>
      <c r="F26" s="115"/>
    </row>
    <row r="27" spans="1:14" x14ac:dyDescent="0.2">
      <c r="A27" s="6" t="s">
        <v>888</v>
      </c>
      <c r="B27">
        <f>(IF(DPS!C27="Ironfoe",(WhiteMHConnects+YellowConnects)*0.12,0))</f>
        <v>0</v>
      </c>
      <c r="C27">
        <f>(IF(DPS!C27="Ironfoe",(WhiteMHConnects20+YellowConnects20)*0.12,0))</f>
        <v>0</v>
      </c>
      <c r="D27" s="6" t="s">
        <v>1154</v>
      </c>
      <c r="E27">
        <f ca="1">IF(FinalMHSpeed=0,IF(Final2HSpeed=0,1,Final2HSpeed),FinalMHSpeed)</f>
        <v>1.5248906126747039</v>
      </c>
    </row>
    <row r="28" spans="1:14" x14ac:dyDescent="0.2">
      <c r="A28" s="6" t="s">
        <v>511</v>
      </c>
      <c r="B28">
        <f ca="1">(WhiteHits+WhiteCrits+WhiteGlancingBlows)/100*WhiteMHSwings</f>
        <v>0.24279862466021207</v>
      </c>
      <c r="C28">
        <f ca="1">(WhiteHits+WhiteCrits+WhiteGlancingBlows)/100*WhiteMHSwings20</f>
        <v>0.51921016186231184</v>
      </c>
      <c r="D28" s="6" t="s">
        <v>1156</v>
      </c>
      <c r="E28">
        <f ca="1">IF(BaseMHSpeed=0,IF(Base2HSpeed=0,1,Base2HSpeed/(1+NetHaste20)),BaseMHSpeed/(1+NetHaste20))</f>
        <v>1.5053635122055085</v>
      </c>
    </row>
    <row r="29" spans="1:14" x14ac:dyDescent="0.2">
      <c r="A29" s="6" t="s">
        <v>1218</v>
      </c>
      <c r="B29">
        <f ca="1">(WhiteHits+WhiteCrits+WhiteGlancingBlows)/100*WhiteMHSwings+(YellowCrits+YellowHits)/100*(DPS!M43/SlamCD+DPS!M44/HSCD+DPS!M45/CleaveCD)</f>
        <v>0.56916460888413478</v>
      </c>
      <c r="C29">
        <f ca="1">(WhiteHits+WhiteCrits+WhiteGlancingBlows)/100*WhiteMHSwings20</f>
        <v>0.51921016186231184</v>
      </c>
      <c r="D29" s="6" t="s">
        <v>1155</v>
      </c>
      <c r="E29">
        <f ca="1">IF(BaseOHSpeed=0,1,BaseOHSpeed/(1+NetHaste20))</f>
        <v>1.7430524878169047</v>
      </c>
    </row>
    <row r="30" spans="1:14" x14ac:dyDescent="0.2">
      <c r="A30" s="6" t="s">
        <v>514</v>
      </c>
      <c r="B30">
        <f ca="1">(YellowHits+YellowCrits)/100*YellowSwings</f>
        <v>0.56276598422392277</v>
      </c>
      <c r="C30">
        <f ca="1">(YellowHits+YellowCrits)/100*YellowSwings20</f>
        <v>0.53088278092349106</v>
      </c>
    </row>
    <row r="31" spans="1:14" x14ac:dyDescent="0.2">
      <c r="A31" s="6" t="s">
        <v>515</v>
      </c>
      <c r="B31">
        <f ca="1">IF(BaseOHSpeed=0,0,(WhiteOHHits+WhiteOHCrits+WhiteOHGlancing)/100*WhiteOHSwings)</f>
        <v>0.44266663889277491</v>
      </c>
      <c r="C31">
        <f ca="1">IF(BaseOHSpeed=0,0,(WhiteOHHits+WhiteOHCrits+WhiteOHGlancing)/100*WhiteOHSwings20)</f>
        <v>0.44840877615381458</v>
      </c>
      <c r="D31" s="6" t="s">
        <v>632</v>
      </c>
      <c r="E31">
        <f>IF(SkillDiffMH&gt;15,0.65,IF(SkillDiffMH&lt;0,1,INDEX(N3:N18,MATCH(SkillDiffMH,M3:M18,))))</f>
        <v>0.82030000000000003</v>
      </c>
    </row>
    <row r="32" spans="1:14" x14ac:dyDescent="0.2">
      <c r="A32" s="6" t="s">
        <v>516</v>
      </c>
      <c r="B32">
        <f ca="1">IF(DPS!C74=0,0,WindfurySwings*(WhiteHits+WhiteCrits+WhiteGlancingBlows)/100)</f>
        <v>0</v>
      </c>
      <c r="C32">
        <f ca="1">IF(DPS!C74=0,0,WindfurySwings20*(WhiteHits+WhiteCrits+WhiteGlancingBlows)/100)</f>
        <v>0</v>
      </c>
      <c r="D32" s="7" t="s">
        <v>633</v>
      </c>
      <c r="E32">
        <f>IF(SkillDiffOH&gt;15,0.65,IF(SkillDiffOH&lt;0,1,INDEX(N3:N18,MATCH(SkillDiffOH,M3:M18,))))</f>
        <v>0.82030000000000003</v>
      </c>
    </row>
    <row r="33" spans="1:15" x14ac:dyDescent="0.2">
      <c r="A33" s="6" t="s">
        <v>517</v>
      </c>
      <c r="B33">
        <f>HoJSwings*(WhiteHits+WhiteCrits+WhiteGlancingBlows)/100</f>
        <v>0</v>
      </c>
      <c r="C33">
        <f>HoJSwings20*(WhiteHits+WhiteCrits+WhiteGlancingBlows)/100</f>
        <v>0</v>
      </c>
    </row>
    <row r="34" spans="1:15" x14ac:dyDescent="0.2">
      <c r="A34" s="6" t="s">
        <v>540</v>
      </c>
      <c r="B34">
        <f ca="1">SSSwings*(WhiteHits+WhiteCrits+WhiteGlancingBlows)/100</f>
        <v>0</v>
      </c>
      <c r="C34">
        <f ca="1">SSSwings20*(WhiteHits+WhiteCrits+WhiteGlancingBlows)/100</f>
        <v>0</v>
      </c>
      <c r="D34" s="7" t="s">
        <v>1225</v>
      </c>
      <c r="E34">
        <f>IF(BaseSpeed=0,0,BaseSpeed*BaseOHSpeed/(BaseSpeed+BaseOHSpeed)/BaseSpeed)</f>
        <v>0.53658536585365857</v>
      </c>
    </row>
    <row r="35" spans="1:15" x14ac:dyDescent="0.2">
      <c r="A35" s="6" t="s">
        <v>889</v>
      </c>
      <c r="B35">
        <f>IronfoeSwings*(WhiteHits+WhiteCrits+WhiteGlancingBlows)/100</f>
        <v>0</v>
      </c>
      <c r="C35">
        <f>IronfoeSwings20*(WhiteHits+WhiteCrits+WhiteGlancingBlows)/100</f>
        <v>0</v>
      </c>
      <c r="F35" s="11"/>
      <c r="H35" t="s">
        <v>1192</v>
      </c>
      <c r="I35" t="s">
        <v>1192</v>
      </c>
      <c r="J35">
        <f>WhiteMisses*WhiteMisses/100</f>
        <v>2.6896</v>
      </c>
      <c r="L35" t="s">
        <v>1192</v>
      </c>
      <c r="M35" t="s">
        <v>1192</v>
      </c>
      <c r="N35">
        <f>WhiteOHMisses*WhiteOHMisses/100</f>
        <v>2.6896</v>
      </c>
    </row>
    <row r="36" spans="1:15" x14ac:dyDescent="0.2">
      <c r="H36" t="s">
        <v>1192</v>
      </c>
      <c r="I36" t="s">
        <v>1193</v>
      </c>
      <c r="J36">
        <f>WhiteMisses*WhiteCrits*2/100</f>
        <v>12.397579999999998</v>
      </c>
      <c r="L36" t="s">
        <v>1192</v>
      </c>
      <c r="M36" t="s">
        <v>1193</v>
      </c>
      <c r="N36">
        <f>WhiteOHMisses*WhiteOHCrits*2/100</f>
        <v>12.397579999999998</v>
      </c>
    </row>
    <row r="37" spans="1:15" x14ac:dyDescent="0.2">
      <c r="A37" s="12" t="s">
        <v>1157</v>
      </c>
      <c r="B37" s="115" t="s">
        <v>1081</v>
      </c>
      <c r="C37" s="115" t="s">
        <v>1082</v>
      </c>
      <c r="D37" s="115" t="s">
        <v>1197</v>
      </c>
      <c r="E37" s="115" t="s">
        <v>1198</v>
      </c>
      <c r="H37" t="s">
        <v>1192</v>
      </c>
      <c r="I37" t="s">
        <v>1194</v>
      </c>
      <c r="J37">
        <f>WhiteMisses*WhiteDodges*2/100</f>
        <v>1.7843199999999999</v>
      </c>
      <c r="L37" t="s">
        <v>1192</v>
      </c>
      <c r="M37" t="s">
        <v>1194</v>
      </c>
      <c r="N37">
        <f>WhiteOHMisses*WhiteOHDodges*2/100</f>
        <v>1.7843199999999999</v>
      </c>
    </row>
    <row r="38" spans="1:15" x14ac:dyDescent="0.2">
      <c r="A38" s="11" t="s">
        <v>1158</v>
      </c>
      <c r="B38">
        <f ca="1">(1-MobMitigation20)*DeathWishMod*(1+IF(Base2HSpeed&gt;0,0.01*THSpec,0.02*OneHSpec))*(BaseDamage+NetAP20*BaseSpeed/14)/30+0.08*UnbridledWrath</f>
        <v>14.679358653347055</v>
      </c>
      <c r="C38">
        <f ca="1">(1-MobMitigation20)*DeathWishMod*(1+0.02*OneHSpec)*(BaseOHDamage+NetAP20*BaseOHSpeed/14)*(0.5+0.025*ImpDW)/30+IF(BaseOHSpeed=0,0,0.08*UnbridledWrath)</f>
        <v>11.004621845490886</v>
      </c>
      <c r="D38">
        <f ca="1">RagePHMH*2</f>
        <v>29.358717306694111</v>
      </c>
      <c r="E38">
        <f ca="1">RagePHOH*2</f>
        <v>22.009243690981773</v>
      </c>
      <c r="H38" t="s">
        <v>1192</v>
      </c>
      <c r="I38" t="s">
        <v>1195</v>
      </c>
      <c r="J38">
        <f>WhiteGlancingBlows*WhiteMisses*2/100</f>
        <v>13.12</v>
      </c>
      <c r="L38" t="s">
        <v>1192</v>
      </c>
      <c r="M38" t="s">
        <v>1195</v>
      </c>
      <c r="N38">
        <f>WhiteOHGlancing*WhiteOHMisses*2/100</f>
        <v>13.12</v>
      </c>
    </row>
    <row r="39" spans="1:15" x14ac:dyDescent="0.2">
      <c r="A39" s="11" t="s">
        <v>1159</v>
      </c>
      <c r="B39">
        <f ca="1">(WhiteMisses+IF(RagePHMH&lt;ExeRage,WhiteHits,0)+IF(RagePHMH*2&lt;ExeRage,WhiteCrits,0)+IF(RagePHMH*MHGlancingMod&lt;ExeRage,WhiteGlancingBlows,0)+WhiteDodges)/100</f>
        <v>0.21840000000000001</v>
      </c>
      <c r="C39">
        <f ca="1">(WhiteOHMisses+IF(RagePHOH&lt;ExeRage,WhiteOHHits,0)+IF(RagePHOH*2&lt;ExeRage,WhiteOHCrits,0)+IF(RagePHOH*OHGlancingMod&lt;ExeRage,WhiteOHGlancing,0)+WhiteOHDodges)/100</f>
        <v>0.61839999999999995</v>
      </c>
      <c r="D39">
        <f ca="1">(J35+J46+J37+IF(D38*2&lt;ExeRage,J36,0)+IF(D38*MHGlancingMod&lt;ExeRage,J38,0)+IF(D38&lt;ExeRage,J39,0)+IF(D38*4&lt;ExeRage,J40,0)+IF(D38*2&lt;ExeRage,J41,0)+IF(D38*2+D38*MHGlancingMod&lt;ExeRage,J42,0)+IF(D38*2+D38&lt;ExeRage,J43,0)+IF(D38*MHGlancingMod&lt;ExeRage,J44,0)+IF(D38&lt;ExeRage,J45,0)+IF(D38+D38*MHGlancingMod&lt;ExeRage,J47,0)+IF(D38*2&lt;ExeRage,J48,0)+IF(D38*MHGlancingMod*2&lt;ExeRage,J49,0))/100</f>
        <v>4.7698560000000001E-2</v>
      </c>
      <c r="E39">
        <f ca="1">(N35+N46+N37+IF(E38*2&lt;ExeRage,N36,0)+IF(E38*OHGlancingMod&lt;ExeRage,N38,0)+IF(E38&lt;ExeRage,N39,0)+IF(E38*4&lt;ExeRage,N40,0)+IF(E38*2&lt;ExeRage,N41,0)+IF(E38*2+E38*OHGlancingMod&lt;ExeRage,N42,0)+IF(E38*2+E38&lt;ExeRage,N43,0)+IF(E38*OHGlancingMod&lt;ExeRage,N44,0)+IF(E38&lt;ExeRage,N45,0)+IF(E38+E38*OHGlancingMod&lt;ExeRage,N47,0)+IF(E38*2&lt;ExeRage,N48,0)+IF(E38*OHGlancingMod*2&lt;ExeRage,N49,0))/100</f>
        <v>4.7698560000000001E-2</v>
      </c>
      <c r="H39" t="s">
        <v>1192</v>
      </c>
      <c r="I39" t="s">
        <v>1196</v>
      </c>
      <c r="J39">
        <f>WhiteMisses*WhiteHits*2/100</f>
        <v>0.11890000000000052</v>
      </c>
      <c r="L39" t="s">
        <v>1192</v>
      </c>
      <c r="M39" t="s">
        <v>1196</v>
      </c>
      <c r="N39">
        <f>WhiteOHMisses*WhiteOHHits*2/100</f>
        <v>0.11890000000000052</v>
      </c>
    </row>
    <row r="40" spans="1:15" x14ac:dyDescent="0.2">
      <c r="A40" s="11" t="s">
        <v>1160</v>
      </c>
      <c r="B40">
        <f ca="1">1-B39</f>
        <v>0.78159999999999996</v>
      </c>
      <c r="C40">
        <f ca="1">1-C39</f>
        <v>0.38160000000000005</v>
      </c>
      <c r="D40">
        <f ca="1">1-D39</f>
        <v>0.95230144000000005</v>
      </c>
      <c r="E40">
        <f ca="1">1-E39</f>
        <v>0.95230144000000005</v>
      </c>
      <c r="H40" t="s">
        <v>1193</v>
      </c>
      <c r="I40" t="s">
        <v>1193</v>
      </c>
      <c r="J40">
        <f>WhiteCrits*WhiteCrits/100</f>
        <v>14.2865100625</v>
      </c>
      <c r="L40" t="s">
        <v>1193</v>
      </c>
      <c r="M40" t="s">
        <v>1193</v>
      </c>
      <c r="N40">
        <f>WhiteOHCrits*WhiteOHCrits/100</f>
        <v>14.2865100625</v>
      </c>
    </row>
    <row r="41" spans="1:15" x14ac:dyDescent="0.2">
      <c r="A41" t="s">
        <v>1042</v>
      </c>
      <c r="B41">
        <f ca="1">1.5/FinalSpeed20</f>
        <v>0.99643706509290209</v>
      </c>
      <c r="C41">
        <f ca="1">1.5/FinalOHSpeed20</f>
        <v>0.86055928348932453</v>
      </c>
      <c r="D41">
        <f ca="1">IF(D40=0,1,FinalSpeed20*2/D40)</f>
        <v>3.1615273252248959</v>
      </c>
      <c r="E41">
        <f ca="1">IF(BaseOHSpeed&gt;0,IF(E40=0,1,FinalOHSpeed20*2/E40),1)</f>
        <v>3.6607158502604062</v>
      </c>
      <c r="H41" t="s">
        <v>1193</v>
      </c>
      <c r="I41" t="s">
        <v>1194</v>
      </c>
      <c r="J41">
        <f>WhiteCrits*WhiteDodges*2/100</f>
        <v>4.112368</v>
      </c>
      <c r="L41" t="s">
        <v>1193</v>
      </c>
      <c r="M41" t="s">
        <v>1194</v>
      </c>
      <c r="N41">
        <f>WhiteOHCrits*WhiteOHDodges*2/100</f>
        <v>4.112368</v>
      </c>
    </row>
    <row r="42" spans="1:15" x14ac:dyDescent="0.2">
      <c r="A42" t="s">
        <v>1043</v>
      </c>
      <c r="B42">
        <f ca="1">IF(B41&gt;1,1-((1-B40)*(1-(B41-1)*B40)),B41*B40)</f>
        <v>0.77881521007661225</v>
      </c>
      <c r="C42">
        <f ca="1">IF(C41&gt;1,1-((1-C40)*(1-(C41-1)*C40)),C41*C40)</f>
        <v>0.3283894225795263</v>
      </c>
      <c r="H42" t="s">
        <v>1193</v>
      </c>
      <c r="I42" t="s">
        <v>1195</v>
      </c>
      <c r="J42">
        <f>WhiteCrits*WhiteGlancingBlows*2/100</f>
        <v>30.238000000000003</v>
      </c>
      <c r="L42" t="s">
        <v>1193</v>
      </c>
      <c r="M42" t="s">
        <v>1195</v>
      </c>
      <c r="N42">
        <f>WhiteOHCrits*WhiteOHGlancing*2/100</f>
        <v>30.238000000000003</v>
      </c>
    </row>
    <row r="43" spans="1:15" x14ac:dyDescent="0.2">
      <c r="A43" t="s">
        <v>1045</v>
      </c>
      <c r="B43">
        <f ca="1">(1-B42)*(1-C42)</f>
        <v>0.14855004447707262</v>
      </c>
      <c r="D43" s="11" t="s">
        <v>1199</v>
      </c>
      <c r="E43">
        <f ca="1">D41*E34+E41*(1-E34)</f>
        <v>3.3928585929242789</v>
      </c>
      <c r="H43" t="s">
        <v>1193</v>
      </c>
      <c r="I43" t="s">
        <v>1196</v>
      </c>
      <c r="J43">
        <f>WhiteHits*WhiteCrits*2/100</f>
        <v>0.2740318750000012</v>
      </c>
      <c r="L43" t="s">
        <v>1193</v>
      </c>
      <c r="M43" t="s">
        <v>1196</v>
      </c>
      <c r="N43">
        <f>WhiteOHHits*WhiteOHCrits*2/100</f>
        <v>0.2740318750000012</v>
      </c>
    </row>
    <row r="44" spans="1:15" x14ac:dyDescent="0.2">
      <c r="A44" t="s">
        <v>1046</v>
      </c>
      <c r="B44">
        <f ca="1">1-B43</f>
        <v>0.85144995552292735</v>
      </c>
      <c r="D44" s="11"/>
      <c r="H44" t="s">
        <v>1194</v>
      </c>
      <c r="I44" t="s">
        <v>1195</v>
      </c>
      <c r="J44">
        <f>WhiteDodges*WhiteGlancingBlows*2/100</f>
        <v>4.3520000000000003</v>
      </c>
      <c r="L44" t="s">
        <v>1194</v>
      </c>
      <c r="M44" t="s">
        <v>1195</v>
      </c>
      <c r="N44">
        <f>WhiteOHDodges*WhiteOHGlancing*2/100</f>
        <v>4.3520000000000003</v>
      </c>
      <c r="O44" s="11"/>
    </row>
    <row r="45" spans="1:15" x14ac:dyDescent="0.2">
      <c r="A45" t="s">
        <v>1044</v>
      </c>
      <c r="B45">
        <f ca="1">IF(BaseOHSpeed&gt;0,1.5*B44+E43*B43,FinalSpeed20*B40+B39*FinalSpeed20*2)</f>
        <v>1.7811842281677108</v>
      </c>
      <c r="D45" s="11"/>
      <c r="H45" t="s">
        <v>1194</v>
      </c>
      <c r="I45" t="s">
        <v>1196</v>
      </c>
      <c r="J45">
        <f>WhiteDodges*WhiteHits*2/100</f>
        <v>3.9440000000000176E-2</v>
      </c>
      <c r="L45" t="s">
        <v>1194</v>
      </c>
      <c r="M45" t="s">
        <v>1196</v>
      </c>
      <c r="N45">
        <f>WhiteOHDodges*WhiteOHHits*2/100</f>
        <v>3.9440000000000176E-2</v>
      </c>
      <c r="O45" s="11"/>
    </row>
    <row r="46" spans="1:15" x14ac:dyDescent="0.2">
      <c r="D46" s="11"/>
      <c r="H46" t="s">
        <v>1194</v>
      </c>
      <c r="I46" t="s">
        <v>1194</v>
      </c>
      <c r="J46">
        <f>WhiteDodges*WhiteDodges/100</f>
        <v>0.29593600000000003</v>
      </c>
      <c r="L46" t="s">
        <v>1194</v>
      </c>
      <c r="M46" t="s">
        <v>1194</v>
      </c>
      <c r="N46">
        <f>WhiteOHDodges*WhiteOHDodges/100</f>
        <v>0.29593600000000003</v>
      </c>
      <c r="O46" s="11"/>
    </row>
    <row r="47" spans="1:15" x14ac:dyDescent="0.2">
      <c r="A47" s="11" t="s">
        <v>1161</v>
      </c>
      <c r="B47">
        <f>15-IF(ImpExe=1,2,IF(ImpExe=2,5,0))</f>
        <v>10</v>
      </c>
      <c r="H47" t="s">
        <v>1196</v>
      </c>
      <c r="I47" t="s">
        <v>1195</v>
      </c>
      <c r="J47">
        <f>WhiteHits*WhiteGlancingBlows*2/100</f>
        <v>0.29000000000000126</v>
      </c>
      <c r="L47" t="s">
        <v>1196</v>
      </c>
      <c r="M47" t="s">
        <v>1195</v>
      </c>
      <c r="N47">
        <f>WhiteOHHits*WhiteOHGlancing*2/100</f>
        <v>0.29000000000000126</v>
      </c>
    </row>
    <row r="48" spans="1:15" x14ac:dyDescent="0.2">
      <c r="A48" t="s">
        <v>727</v>
      </c>
      <c r="B48">
        <f ca="1">(SUM(DPS!G5:'DPS'!G34)-DPS!G28-DPS!G30-DPS!G32-IF(DPS!C31="The Untamed Blade",DPS!G31-B70,0)+CrusaderMH20+CrusaderOH20+IF(DPS!E75=TRUE,88,70)*DPS!C72+20*DPS!E60+MightyRagePot+16*DPS!C63+30*DPS!E62+10*DPS!E59+25*DPS!E61+25*DPS!E68+15*DPS!C57+DPS!G35*DPS!C35)*(1+0.1*DPS!C67)*(1+0.15*DPS!C56)</f>
        <v>721.19988194801044</v>
      </c>
      <c r="H48" t="s">
        <v>1196</v>
      </c>
      <c r="I48" t="s">
        <v>1196</v>
      </c>
      <c r="J48">
        <f>WhiteHits*WhiteHits/100</f>
        <v>1.3140625000000116E-3</v>
      </c>
      <c r="L48" t="s">
        <v>1196</v>
      </c>
      <c r="M48" t="s">
        <v>1196</v>
      </c>
      <c r="N48">
        <f>WhiteOHHits*WhiteOHHits/100</f>
        <v>1.3140625000000116E-3</v>
      </c>
    </row>
    <row r="49" spans="1:14" x14ac:dyDescent="0.2">
      <c r="A49" t="s">
        <v>728</v>
      </c>
      <c r="B49">
        <f ca="1">(NetStr20*2+DPS!J36+ROUNDDOWN(IF(DPS!E72=TRUE,232,185)*(1+0.05*DPS!K71),0)+IF(DPS!E73=TRUE,222,186)*DPS!C68+100*DPS!C65+140*DPS!C55+100*DPS!E57+100*DPS!F57+35*DPS!E63+40*DPS!E64)+200*DPS!C78+BloodFury20*DPS!E81</f>
        <v>2477.3997638960209</v>
      </c>
      <c r="H49" t="s">
        <v>1195</v>
      </c>
      <c r="I49" t="s">
        <v>1195</v>
      </c>
      <c r="J49">
        <f>WhiteGlancingBlows*WhiteGlancingBlows/100</f>
        <v>16</v>
      </c>
      <c r="L49" t="s">
        <v>1195</v>
      </c>
      <c r="M49" t="s">
        <v>1195</v>
      </c>
      <c r="N49">
        <f>WhiteOHGlancing*WhiteOHGlancing/100</f>
        <v>16</v>
      </c>
    </row>
    <row r="50" spans="1:14" x14ac:dyDescent="0.2">
      <c r="A50" t="s">
        <v>729</v>
      </c>
      <c r="B50">
        <f ca="1">IF(DPS!C28="Crusader",100*(1-2.71828^(-BaseSpeed/60*15*(WhiteMHConnects20+YellowConnects20+WindfuryConnects20+HoJConnects20))),0)</f>
        <v>39.273730907604431</v>
      </c>
    </row>
    <row r="51" spans="1:14" x14ac:dyDescent="0.2">
      <c r="A51" t="s">
        <v>730</v>
      </c>
      <c r="B51">
        <f ca="1">IF(DPS!C30="Crusader",100*(1-2.71828^(-BaseOHSpeed/60*15*WhiteOHConnects20)),0)</f>
        <v>21.856605886521074</v>
      </c>
    </row>
    <row r="52" spans="1:14" x14ac:dyDescent="0.2">
      <c r="A52" t="s">
        <v>731</v>
      </c>
      <c r="B52">
        <f ca="1">VLOOKUP(DPS!C27,DWWeaponStats,19, FALSE)</f>
        <v>64.013659868568411</v>
      </c>
    </row>
    <row r="53" spans="1:14" x14ac:dyDescent="0.2">
      <c r="A53" t="s">
        <v>732</v>
      </c>
      <c r="B53">
        <f>VLOOKUP(DPS!C29,DWWeaponStats,20, FALSE)</f>
        <v>0</v>
      </c>
    </row>
    <row r="54" spans="1:14" x14ac:dyDescent="0.2">
      <c r="A54" t="s">
        <v>733</v>
      </c>
      <c r="B54">
        <f>VLOOKUP(DPS!C25,TrinketStats,13, FALSE)</f>
        <v>0</v>
      </c>
    </row>
    <row r="55" spans="1:14" x14ac:dyDescent="0.2">
      <c r="A55" t="s">
        <v>734</v>
      </c>
      <c r="B55">
        <f>VLOOKUP(DPS!C26,TrinketStats,13, FALSE)</f>
        <v>0</v>
      </c>
    </row>
    <row r="56" spans="1:14" x14ac:dyDescent="0.2">
      <c r="A56" t="s">
        <v>739</v>
      </c>
      <c r="B56">
        <f>VLOOKUP(DPS!C31,THWeaponStats,18, FALSE)</f>
        <v>0</v>
      </c>
    </row>
    <row r="57" spans="1:14" x14ac:dyDescent="0.2">
      <c r="A57" t="s">
        <v>740</v>
      </c>
      <c r="B57">
        <f>VLOOKUP(DPS!C28,MHWeaponEnchantStats,9, FALSE)</f>
        <v>0</v>
      </c>
    </row>
    <row r="58" spans="1:14" x14ac:dyDescent="0.2">
      <c r="A58" t="s">
        <v>741</v>
      </c>
      <c r="B58">
        <f>VLOOKUP(DPS!C30,OHWeaponEnchantStats,9, FALSE)</f>
        <v>0</v>
      </c>
    </row>
    <row r="59" spans="1:14" x14ac:dyDescent="0.2">
      <c r="A59" t="s">
        <v>742</v>
      </c>
      <c r="B59">
        <f>VLOOKUP(DPS!C32,MHWeaponEnchantStats,9, FALSE)*Base2HSpeed</f>
        <v>0</v>
      </c>
    </row>
    <row r="60" spans="1:14" x14ac:dyDescent="0.2">
      <c r="A60" t="s">
        <v>743</v>
      </c>
      <c r="B60" s="16">
        <f ca="1">(1+(0.06*Flurry)*FlurryUptime20)*IF(DPS!C6="Libram of Rapidity",1.01,1)*IF(DPS!C20="Libram of Rapidity",1.01,1)*IF(DPS!C25="Kiss of the Spider",1+KotS/100,1)*IF(DPS!C26="Kiss of the Spider",1+KotS/100,1)*IF(DPS!C17="Minor Haste",1.01,1)*(1+JujuFlurry/100)*(1+0.15*DPS!C58)*(1+0.05*DPS!C60)*IF(DPS!C27="Empyrean Demolisher",1+(20*(1-2.71828^(-(WhiteMHConnects20+YellowConnects20)*10*VLOOKUP(DPS!C27,ProcChance,4,FALSE))))/100,1)*IF(DPS!C27="Eskhandar's Right Claw",1+(30*(1-2.71828^(-(WhiteMHConnects20+YellowConnects20)*5*VLOOKUP(DPS!C27,ProcChance,4,FALSE))))/100,1)*IF(DPS!E82=TRUE,1+(IF(FightDuration/10&lt;1,DPS!M59,IF(FightDuration/180&lt;1,DPS!M59*10/FightDuration,IF(FightDuration-180*ROUNDDOWN(FightDuration/180,0)&lt;10,(FightDuration-180*ROUNDDOWN(FightDuration/180,0)+10*ROUNDDOWN(FightDuration/180,0))*DPS!M59/FightDuration,(ROUNDDOWN(FightDuration/180,0)+1)*10*DPS!M59/FightDuration))))/100,1)-1</f>
        <v>0.26215364309614952</v>
      </c>
    </row>
    <row r="61" spans="1:14" x14ac:dyDescent="0.2">
      <c r="A61" t="s">
        <v>753</v>
      </c>
      <c r="B61">
        <f>EnemyLevel*5-WeaponSkillMH</f>
        <v>11</v>
      </c>
    </row>
    <row r="62" spans="1:14" x14ac:dyDescent="0.2">
      <c r="A62" t="s">
        <v>754</v>
      </c>
      <c r="B62">
        <f>EnemyLevel*5-WeaponSkillOH</f>
        <v>11</v>
      </c>
    </row>
    <row r="63" spans="1:14" x14ac:dyDescent="0.2">
      <c r="A63" s="11" t="s">
        <v>765</v>
      </c>
      <c r="B63">
        <f>IF(OR(Realm="Kronos I",Realm="Kronos III"),IF(SkillDiffMH&gt;10,5+SkillDiffMH*0.2,5+SkillDiffMH*0.1),IF(SkillDiffMH&gt;10,7+(SkillDiffMH-10)*0.4,5+SkillDiffMH*0.1))</f>
        <v>7.4</v>
      </c>
    </row>
    <row r="64" spans="1:14" x14ac:dyDescent="0.2">
      <c r="A64" s="11" t="s">
        <v>766</v>
      </c>
      <c r="B64">
        <f>IF(OR(Realm="Kronos I",Realm="Kronos III"),IF(SkillDiffOH&gt;10,5+SkillDiffOH*0.2,5+SkillDiffOH*0.1),IF(SkillDiffOH&gt;10,7+(SkillDiffOH-10)*0.4,5+SkillDiffOH*0.1))</f>
        <v>7.4</v>
      </c>
    </row>
    <row r="65" spans="1:2" x14ac:dyDescent="0.2">
      <c r="A65" t="s">
        <v>815</v>
      </c>
      <c r="B65">
        <f>IF(DPS!M57-IF(DPS!I59,2550,IF(DPS!I55,2250,0))-640*DPS!I56-505*DPS!I57-600*DPS!I58-IF(B81=0,BREArmorReduction20+B73,B81)&gt;0,DPS!M57-IF(DPS!I59,2550,IF(DPS!I55,2250,0))-640*DPS!I56-505*DPS!I57-600*DPS!I58-IF(B81=0,BREArmorReduction20+B73,B81),0)</f>
        <v>696</v>
      </c>
    </row>
    <row r="66" spans="1:2" x14ac:dyDescent="0.2">
      <c r="A66" t="s">
        <v>816</v>
      </c>
      <c r="B66">
        <f>IF(ARCap-IF(DPS!C31="Bonereaver's Edge",(MIN(ARCap,700)+MIN(ARCap,1400)+MIN(ARCap,2100))/3*(1-2.71828^(-(WhiteMHConnects20+YellowConnects20+HoJConnects20+SSConnects20+WindfuryConnects20)*10*VLOOKUP("Bonereaver's Edge",ProcChance,4,FALSE))),0)&lt;0,ARCap,IF(DPS!C31="Bonereaver's Edge",(MIN(ARCap,700)+MIN(ARCap,1400)+MIN(ARCap,2100))/3*(1-2.71828^(-(WhiteMHConnects20+YellowConnects20+HoJConnects20+SSConnects20+WindfuryConnects20)*10*VLOOKUP("Bonereaver's Edge",ProcChance,4,FALSE))),0))</f>
        <v>0</v>
      </c>
    </row>
    <row r="67" spans="1:2" x14ac:dyDescent="0.2">
      <c r="A67" t="s">
        <v>817</v>
      </c>
      <c r="B67">
        <f>(1-B68)*DeathWishMod*(1+IF(Base2HSpeed&gt;0,0.01*THSpec,0.02*OneHSpec))*((YellowCrits*(2+0.1*Impale)+YellowHits)*(1-Felstriker)+FSYellowCrits*(2+0.1*Impale)*Felstriker)/100</f>
        <v>1.3662005326016784</v>
      </c>
    </row>
    <row r="68" spans="1:2" x14ac:dyDescent="0.2">
      <c r="A68" t="s">
        <v>818</v>
      </c>
      <c r="B68">
        <f>B65/(B65+400+85*60)</f>
        <v>0.11233053582956747</v>
      </c>
    </row>
    <row r="69" spans="1:2" x14ac:dyDescent="0.2">
      <c r="A69" t="s">
        <v>819</v>
      </c>
      <c r="B69">
        <f>(1-B68)*DeathWishMod*(1+IF(Base2HSpeed&gt;0,0.01*THSpec,0.02*OneHSpec))*((WhiteCrits*2+WhiteHits+WhiteGlancingBlows*MHGlancingMod)*(1-Felstriker)+(FSCrits*2+FSGlancing*MHGlancingMod)*Felstriker)/100</f>
        <v>1.0620650016139443</v>
      </c>
    </row>
    <row r="70" spans="1:2" x14ac:dyDescent="0.2">
      <c r="A70" t="s">
        <v>826</v>
      </c>
      <c r="B70">
        <f ca="1">300*(1-2.71828^(-(WhiteMHConnects20+YellowConnects20+HoJConnects20+SSConnects20+WindfuryConnects20)*8*VLOOKUP("The Untamed Blade",ProcChance,4,FALSE)))</f>
        <v>184.21918857599525</v>
      </c>
    </row>
    <row r="71" spans="1:2" x14ac:dyDescent="0.2">
      <c r="A71" s="11" t="s">
        <v>833</v>
      </c>
      <c r="B71">
        <f>(1-MobMitigation)*DeathWishMod*(1+IF(Base2HSpeed&gt;0,0.01*THSpec,0.02*OneHSpec))*((BTCrits*(2+0.1*Impale)+BTHits)*(1-Felstriker)+(100-E11-E15)*(2+0.1*Impale)*Felstriker)/100</f>
        <v>1.3627634764364105</v>
      </c>
    </row>
    <row r="72" spans="1:2" x14ac:dyDescent="0.2">
      <c r="A72" s="11" t="s">
        <v>1038</v>
      </c>
      <c r="B72">
        <f>(1-MobMitigation)*DeathWishMod*(1+IF(Base2HSpeed&gt;0,0.01*THSpec,0.02*OneHSpec))*((OPCrits*(2+0.1*Impale)+OPHits)*(1-Felstriker)+(100-H11)*(2+0.1*Impale)*Felstriker)/100</f>
        <v>2.0051805196901231</v>
      </c>
    </row>
    <row r="73" spans="1:2" x14ac:dyDescent="0.2">
      <c r="A73" s="11" t="s">
        <v>886</v>
      </c>
      <c r="B73">
        <f>IF(COUNTIF(DPS!C25:'DPS'!C26,"Badge of the Swarmguard")=1,INDEX('Badge of the Swarmguard'!G2:G1802,MATCH(FightDuration,'Badge of the Swarmguard'!A2:A1802,)),0)</f>
        <v>0</v>
      </c>
    </row>
    <row r="74" spans="1:2" x14ac:dyDescent="0.2">
      <c r="A74" t="s">
        <v>887</v>
      </c>
      <c r="B74">
        <f>(1-MobMitigation20)*DeathWishMod*(1+0.02*OneHSpec)*(0.5+(0.025*ImpDW))*((WhiteOHCrits*2+WhiteOHHits+WhiteOHGlancing*OHGlancingMod)*(1-Felstriker)+(FSOHCrits*2+FSOHGlancing*OHGlancingMod)*Felstriker)/100</f>
        <v>0.6637906260087153</v>
      </c>
    </row>
    <row r="75" spans="1:2" x14ac:dyDescent="0.2">
      <c r="A75" t="s">
        <v>311</v>
      </c>
      <c r="B75">
        <f>IF(DPS!C27="Felstriker",1-2.71828^(-(WhiteMHConnects+YellowConnects+WindfuryConnects+HoJConnects+IF(DPS!C29="Felstriker",WhiteOHConnects,0))*3*VLOOKUP("Felstriker",ProcChance,4,FALSE)),IF(DPS!C29="Felstriker",1-2.71828^(-(WhiteOHConnects)*3*VLOOKUP("Felstriker",ProcChance,4,FALSE)),0))</f>
        <v>0</v>
      </c>
    </row>
    <row r="76" spans="1:2" x14ac:dyDescent="0.2">
      <c r="A76" t="s">
        <v>901</v>
      </c>
      <c r="B76">
        <f>IF(DPS!C27="Felstriker",1-2.71828^(-(WhiteMHConnects20+YellowConnects20+WindfuryConnects20+HoJConnects20+IF(DPS!C29="Felstriker",WhiteOHConnects20,0))*3*VLOOKUP("Felstriker",ProcChance,4,FALSE)),IF(DPS!C29="Felstriker",1-2.71828^(-(WhiteOHConnects20)*3*VLOOKUP("Felstriker",ProcChance,4,FALSE)),0))</f>
        <v>0</v>
      </c>
    </row>
    <row r="77" spans="1:2" x14ac:dyDescent="0.2">
      <c r="A77" s="11" t="s">
        <v>563</v>
      </c>
      <c r="B77" s="4">
        <f>IF(FightDuration/20&lt;1,3,IF(FightDuration/60&lt;1,3*20/FightDuration,IF(FightDuration-60*ROUNDDOWN(FightDuration/60,0)&lt;20,(FightDuration-60*ROUNDDOWN(FightDuration/60,0)+20*ROUNDDOWN(FightDuration/60,0))*3/FightDuration,(ROUNDDOWN(FightDuration/60,0)+1)*20*3/FightDuration)))*DPS!E79</f>
        <v>0</v>
      </c>
    </row>
    <row r="78" spans="1:2" x14ac:dyDescent="0.2">
      <c r="A78" s="11" t="s">
        <v>907</v>
      </c>
      <c r="B78" s="4">
        <f>IF(FightDuration/20&lt;1,60,IF(FightDuration/120&lt;1,60*20/FightDuration,IF(FightDuration-120*ROUNDDOWN(FightDuration/120,0)&lt;20,(FightDuration-120*ROUNDDOWN(FightDuration/120,0)+20*ROUNDDOWN(FightDuration/120,0))*60/FightDuration,(ROUNDDOWN(FightDuration/120,0)+1)*20*60/FightDuration)))*DPS!E78</f>
        <v>20</v>
      </c>
    </row>
    <row r="79" spans="1:2" x14ac:dyDescent="0.2">
      <c r="A79" s="11" t="s">
        <v>908</v>
      </c>
      <c r="B79" s="4">
        <f>1+IF(FightDuration/30&lt;1,0.2,IF(FightDuration/180&lt;1,0.2*30/FightDuration,IF(FightDuration-180*ROUNDDOWN(FightDuration/180,0)&lt;30,(FightDuration-180*ROUNDDOWN(FightDuration/180,0)+30*ROUNDDOWN(FightDuration/180,0))*0.2/FightDuration,(ROUNDDOWN(FightDuration/180,0)+1)*30*0.2/FightDuration)))*Deathwish*DPS!E77</f>
        <v>1.1000000000000001</v>
      </c>
    </row>
    <row r="80" spans="1:2" x14ac:dyDescent="0.2">
      <c r="A80" s="11" t="s">
        <v>943</v>
      </c>
      <c r="B80">
        <f>MAX(DPS!M57-IF(DPS!I59,2550,IF(DPS!I55,2250,0))-640*DPS!I56-505*DPS!I57-600*DPS!I58,0)</f>
        <v>696</v>
      </c>
    </row>
    <row r="81" spans="1:2" x14ac:dyDescent="0.2">
      <c r="A81" s="11" t="s">
        <v>944</v>
      </c>
      <c r="B81">
        <f>IF(COUNTIF(DPS!C25:'DPS'!C26,"Badge of the Swarmguard")+COUNTIF(DPS!C31,"Bonereaver's Edge")=2,INDEX('Badge of the Swarmguard'!O2:O1802,MATCH(FightDuration,'Badge of the Swarmguard'!A2:A1802,)),0)</f>
        <v>0</v>
      </c>
    </row>
    <row r="82" spans="1:2" x14ac:dyDescent="0.2">
      <c r="A82" s="11" t="s">
        <v>947</v>
      </c>
      <c r="B82">
        <f>IF(ARCap-IF(DPS!C31="Bonereaver's Edge",(MIN(ARCap,700)+MIN(ARCap,1400)+MIN(ARCap,2100))/3*(1-2.71828^(-(WhiteMHConnects+YellowConnects+HoJConnects+SSConnects+WindfuryConnects)*10*VLOOKUP("Bonereaver's Edge",ProcChance,4,FALSE))),0)&lt;0,ARCap,IF(DPS!C31="Bonereaver's Edge",(MIN(ARCap,700)+MIN(ARCap,1400)+MIN(ARCap,2100))/3*(1-2.71828^(-(WhiteMHConnects+YellowConnects+HoJConnects+SSConnects+WindfuryConnects)*10*VLOOKUP("Bonereaver's Edge",ProcChance,4,FALSE))),0))</f>
        <v>0</v>
      </c>
    </row>
    <row r="83" spans="1:2" x14ac:dyDescent="0.2">
      <c r="A83" s="11" t="s">
        <v>948</v>
      </c>
      <c r="B83">
        <f>IF(COUNTIF(DPS!C25:'DPS'!C26,"Badge of the Swarmguard")+COUNTIF(DPS!C31,"Bonereaver's Edge")=2,INDEX('Badge of the Swarmguard'!K2:K1802,MATCH(FightDuration,'Badge of the Swarmguard'!A2:A1802,)),0)</f>
        <v>0</v>
      </c>
    </row>
    <row r="84" spans="1:2" x14ac:dyDescent="0.2">
      <c r="A84" s="11" t="s">
        <v>949</v>
      </c>
      <c r="B84">
        <f>IF(COUNTIF(DPS!C25:C26,"Badge of the Swarmguard")=1,INDEX('Badge of the Swarmguard'!C2:C1802,MATCH(FightDuration,'Badge of the Swarmguard'!A2:A1802,)),0)</f>
        <v>0</v>
      </c>
    </row>
    <row r="85" spans="1:2" x14ac:dyDescent="0.2">
      <c r="A85" s="11" t="s">
        <v>1014</v>
      </c>
      <c r="B85">
        <f ca="1">DPS!G36+DPS!J34</f>
        <v>872.31434836664084</v>
      </c>
    </row>
    <row r="86" spans="1:2" x14ac:dyDescent="0.2">
      <c r="A86" s="11" t="s">
        <v>1015</v>
      </c>
      <c r="B86">
        <f ca="1">NetStr20+DPS!J34</f>
        <v>881.19988194801044</v>
      </c>
    </row>
    <row r="87" spans="1:2" x14ac:dyDescent="0.2">
      <c r="A87" s="11" t="s">
        <v>1016</v>
      </c>
      <c r="B87">
        <f ca="1">IF(FightDuration/15&lt;1,B85*0.25,IF(FightDuration/120&lt;1,B85*0.25*15/FightDuration,IF(FightDuration-120*ROUNDDOWN(FightDuration/120,0)&lt;15,(FightDuration-120*ROUNDDOWN(FightDuration/120,0)+15*ROUNDDOWN(FightDuration/120,0))*B85*0.25/FightDuration,(ROUNDDOWN(FightDuration/120,0)+1)*15*B85*0.25/FightDuration)))</f>
        <v>54.519646772915053</v>
      </c>
    </row>
    <row r="88" spans="1:2" x14ac:dyDescent="0.2">
      <c r="A88" s="11" t="s">
        <v>1017</v>
      </c>
      <c r="B88">
        <f ca="1">IF(FightDuration/15&lt;1,B86*0.25,IF(FightDuration/120&lt;1,B86*0.25*15/FightDuration,IF(FightDuration-120*ROUNDDOWN(FightDuration/120,0)&lt;15,(FightDuration-120*ROUNDDOWN(FightDuration/120,0)+15*ROUNDDOWN(FightDuration/120,0))*B86*0.25/FightDuration,(ROUNDDOWN(FightDuration/120,0)+1)*15*B86*0.25/FightDuration)))</f>
        <v>55.074992621750653</v>
      </c>
    </row>
    <row r="89" spans="1:2" x14ac:dyDescent="0.2">
      <c r="A89" s="11" t="s">
        <v>1047</v>
      </c>
      <c r="B89">
        <f>IF(FightDuration/15&lt;1,20,IF(FightDuration/120&lt;1,20*15/FightDuration,IF(FightDuration-120*ROUNDDOWN(FightDuration/120,0)&lt;15,(FightDuration-120*ROUNDDOWN(FightDuration/120,0)+15*ROUNDDOWN(FightDuration/120,0))*20/FightDuration,(ROUNDDOWN(FightDuration/120,0)+1)*15*20/FightDuration)))</f>
        <v>5</v>
      </c>
    </row>
  </sheetData>
  <mergeCells count="1">
    <mergeCell ref="M1:N1"/>
  </mergeCells>
  <phoneticPr fontId="3" type="noConversion"/>
  <pageMargins left="0.75" right="0.75" top="1" bottom="1" header="0.5" footer="0.5"/>
  <pageSetup orientation="portrait"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AY348"/>
  <sheetViews>
    <sheetView workbookViewId="0">
      <selection activeCell="AD18" sqref="AD18"/>
    </sheetView>
  </sheetViews>
  <sheetFormatPr defaultRowHeight="12.75" x14ac:dyDescent="0.2"/>
  <cols>
    <col min="1" max="1" width="32.140625" customWidth="1"/>
    <col min="4" max="4" width="9.140625" customWidth="1"/>
    <col min="15" max="15" width="27.5703125" customWidth="1"/>
    <col min="32" max="32" width="10.5703125" customWidth="1"/>
    <col min="33" max="33" width="10.140625" customWidth="1"/>
    <col min="34" max="34" width="10" customWidth="1"/>
  </cols>
  <sheetData>
    <row r="1" spans="1:51" x14ac:dyDescent="0.2">
      <c r="A1" s="17"/>
      <c r="B1" s="17"/>
      <c r="C1" s="17"/>
      <c r="D1" s="17"/>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c r="AY1" s="17"/>
    </row>
    <row r="2" spans="1:51" x14ac:dyDescent="0.2">
      <c r="A2" s="17"/>
      <c r="B2" s="17"/>
      <c r="C2" s="17"/>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row>
    <row r="3" spans="1:51" ht="12.75" customHeight="1" x14ac:dyDescent="0.2">
      <c r="A3" s="171" t="s">
        <v>10</v>
      </c>
      <c r="B3" s="171"/>
      <c r="C3" s="171"/>
      <c r="D3" s="171"/>
      <c r="E3" s="171"/>
      <c r="F3" s="171"/>
      <c r="G3" s="171"/>
      <c r="H3" s="171"/>
      <c r="I3" s="171"/>
      <c r="J3" s="171"/>
      <c r="K3" s="171"/>
      <c r="L3" s="171"/>
      <c r="M3" s="171"/>
      <c r="N3" s="17"/>
      <c r="O3" s="171" t="s">
        <v>1053</v>
      </c>
      <c r="P3" s="174"/>
      <c r="Q3" s="174"/>
      <c r="R3" s="174"/>
      <c r="S3" s="174"/>
      <c r="T3" s="174"/>
      <c r="U3" s="174"/>
      <c r="V3" s="174"/>
      <c r="W3" s="174"/>
      <c r="X3" s="174"/>
      <c r="Y3" s="174"/>
      <c r="Z3" s="174"/>
      <c r="AA3" s="174"/>
      <c r="AB3" s="174"/>
      <c r="AC3" s="174"/>
      <c r="AD3" s="174"/>
      <c r="AE3" s="174"/>
      <c r="AF3" s="174"/>
      <c r="AG3" s="174"/>
      <c r="AH3" s="174"/>
      <c r="AI3" s="17"/>
      <c r="AJ3" s="17"/>
      <c r="AK3" s="17"/>
      <c r="AL3" s="17"/>
      <c r="AM3" s="17"/>
      <c r="AN3" s="17"/>
      <c r="AO3" s="17"/>
      <c r="AP3" s="17"/>
      <c r="AQ3" s="17"/>
      <c r="AR3" s="17"/>
      <c r="AS3" s="17"/>
      <c r="AT3" s="17"/>
      <c r="AU3" s="17"/>
      <c r="AV3" s="17"/>
      <c r="AW3" s="17"/>
      <c r="AX3" s="17"/>
      <c r="AY3" s="17"/>
    </row>
    <row r="4" spans="1:51" ht="12.75" customHeight="1" x14ac:dyDescent="0.2">
      <c r="A4" s="172"/>
      <c r="B4" s="172"/>
      <c r="C4" s="172"/>
      <c r="D4" s="172"/>
      <c r="E4" s="172"/>
      <c r="F4" s="172"/>
      <c r="G4" s="172"/>
      <c r="H4" s="172"/>
      <c r="I4" s="172"/>
      <c r="J4" s="172"/>
      <c r="K4" s="172"/>
      <c r="L4" s="172"/>
      <c r="M4" s="172"/>
      <c r="N4" s="17"/>
      <c r="O4" s="174"/>
      <c r="P4" s="174"/>
      <c r="Q4" s="174"/>
      <c r="R4" s="174"/>
      <c r="S4" s="174"/>
      <c r="T4" s="174"/>
      <c r="U4" s="174"/>
      <c r="V4" s="174"/>
      <c r="W4" s="174"/>
      <c r="X4" s="174"/>
      <c r="Y4" s="174"/>
      <c r="Z4" s="174"/>
      <c r="AA4" s="174"/>
      <c r="AB4" s="174"/>
      <c r="AC4" s="174"/>
      <c r="AD4" s="174"/>
      <c r="AE4" s="174"/>
      <c r="AF4" s="174"/>
      <c r="AG4" s="174"/>
      <c r="AH4" s="174"/>
      <c r="AI4" s="17"/>
      <c r="AJ4" s="17"/>
      <c r="AK4" s="17"/>
      <c r="AL4" s="17"/>
      <c r="AM4" s="17"/>
      <c r="AN4" s="17"/>
      <c r="AO4" s="17"/>
      <c r="AP4" s="17"/>
      <c r="AQ4" s="17"/>
      <c r="AR4" s="17"/>
      <c r="AS4" s="17"/>
      <c r="AT4" s="17"/>
      <c r="AU4" s="17"/>
      <c r="AV4" s="17"/>
      <c r="AW4" s="17"/>
      <c r="AX4" s="17"/>
      <c r="AY4" s="17"/>
    </row>
    <row r="5" spans="1:51" x14ac:dyDescent="0.2">
      <c r="A5" s="22" t="s">
        <v>0</v>
      </c>
      <c r="B5" s="22" t="s">
        <v>1</v>
      </c>
      <c r="C5" s="22" t="s">
        <v>2</v>
      </c>
      <c r="D5" s="22" t="s">
        <v>3</v>
      </c>
      <c r="E5" s="22" t="s">
        <v>4</v>
      </c>
      <c r="F5" s="22" t="s">
        <v>5</v>
      </c>
      <c r="G5" s="22" t="s">
        <v>6</v>
      </c>
      <c r="H5" s="22" t="s">
        <v>140</v>
      </c>
      <c r="I5" s="22" t="s">
        <v>156</v>
      </c>
      <c r="J5" s="22" t="s">
        <v>157</v>
      </c>
      <c r="K5" s="22" t="s">
        <v>7</v>
      </c>
      <c r="L5" s="22" t="s">
        <v>122</v>
      </c>
      <c r="M5" s="22" t="s">
        <v>1049</v>
      </c>
      <c r="N5" s="17"/>
      <c r="O5" s="25" t="s">
        <v>0</v>
      </c>
      <c r="P5" s="25" t="s">
        <v>1</v>
      </c>
      <c r="Q5" s="25" t="s">
        <v>2</v>
      </c>
      <c r="R5" s="25" t="s">
        <v>3</v>
      </c>
      <c r="S5" s="25" t="s">
        <v>4</v>
      </c>
      <c r="T5" s="25" t="s">
        <v>5</v>
      </c>
      <c r="U5" s="25" t="s">
        <v>6</v>
      </c>
      <c r="V5" s="25" t="s">
        <v>140</v>
      </c>
      <c r="W5" s="25" t="s">
        <v>156</v>
      </c>
      <c r="X5" s="25" t="s">
        <v>157</v>
      </c>
      <c r="Y5" s="25" t="s">
        <v>7</v>
      </c>
      <c r="Z5" s="25" t="s">
        <v>122</v>
      </c>
      <c r="AA5" s="25" t="s">
        <v>284</v>
      </c>
      <c r="AB5" s="25" t="s">
        <v>285</v>
      </c>
      <c r="AC5" s="25" t="s">
        <v>8</v>
      </c>
      <c r="AD5" s="25" t="s">
        <v>972</v>
      </c>
      <c r="AE5" s="25" t="s">
        <v>971</v>
      </c>
      <c r="AF5" s="25" t="s">
        <v>1049</v>
      </c>
      <c r="AG5" s="25" t="s">
        <v>973</v>
      </c>
      <c r="AH5" s="25" t="s">
        <v>974</v>
      </c>
      <c r="AI5" s="17"/>
      <c r="AJ5" s="17"/>
      <c r="AK5" s="17"/>
      <c r="AL5" s="17"/>
      <c r="AM5" s="17"/>
      <c r="AN5" s="17"/>
      <c r="AO5" s="17"/>
      <c r="AP5" s="17"/>
      <c r="AQ5" s="17"/>
      <c r="AR5" s="17"/>
      <c r="AS5" s="17"/>
      <c r="AT5" s="17"/>
      <c r="AU5" s="17"/>
      <c r="AV5" s="17"/>
      <c r="AW5" s="17"/>
      <c r="AX5" s="17"/>
      <c r="AY5" s="17"/>
    </row>
    <row r="6" spans="1:51" x14ac:dyDescent="0.2">
      <c r="A6" s="21" t="s">
        <v>393</v>
      </c>
      <c r="B6" s="19"/>
      <c r="C6" s="19"/>
      <c r="D6" s="19"/>
      <c r="E6" s="19"/>
      <c r="F6" s="19"/>
      <c r="G6" s="19"/>
      <c r="H6" s="19"/>
      <c r="I6" s="19"/>
      <c r="J6" s="19"/>
      <c r="K6" s="19"/>
      <c r="L6" s="19"/>
      <c r="M6" s="19"/>
      <c r="N6" s="17"/>
      <c r="O6" s="26" t="s">
        <v>393</v>
      </c>
      <c r="P6" s="50"/>
      <c r="Q6" s="50"/>
      <c r="R6" s="50"/>
      <c r="S6" s="50"/>
      <c r="T6" s="50"/>
      <c r="U6" s="50"/>
      <c r="V6" s="50"/>
      <c r="W6" s="50"/>
      <c r="X6" s="50"/>
      <c r="Y6" s="50"/>
      <c r="Z6" s="50"/>
      <c r="AA6" s="50"/>
      <c r="AB6" s="50"/>
      <c r="AC6" s="50"/>
      <c r="AD6" s="50"/>
      <c r="AE6" s="50"/>
      <c r="AF6" s="50"/>
      <c r="AG6" s="50"/>
      <c r="AH6" s="50"/>
      <c r="AI6" s="17"/>
      <c r="AJ6" s="17"/>
      <c r="AK6" s="17"/>
      <c r="AL6" s="17"/>
      <c r="AM6" s="17"/>
      <c r="AN6" s="17"/>
      <c r="AO6" s="17"/>
      <c r="AP6" s="17"/>
      <c r="AQ6" s="17"/>
      <c r="AR6" s="17"/>
      <c r="AS6" s="17"/>
      <c r="AT6" s="17"/>
      <c r="AU6" s="17"/>
      <c r="AV6" s="17"/>
      <c r="AW6" s="17"/>
      <c r="AX6" s="17"/>
      <c r="AY6" s="17"/>
    </row>
    <row r="7" spans="1:51" x14ac:dyDescent="0.2">
      <c r="A7" s="21" t="s">
        <v>1050</v>
      </c>
      <c r="B7" s="19"/>
      <c r="C7" s="19"/>
      <c r="D7" s="19"/>
      <c r="E7" s="19"/>
      <c r="F7" s="19"/>
      <c r="G7" s="19"/>
      <c r="H7" s="19"/>
      <c r="I7" s="19"/>
      <c r="J7" s="19"/>
      <c r="K7" s="19"/>
      <c r="L7" s="19"/>
      <c r="M7" s="19"/>
      <c r="N7" s="17"/>
      <c r="O7" s="30" t="s">
        <v>1050</v>
      </c>
      <c r="P7" s="51"/>
      <c r="Q7" s="51"/>
      <c r="R7" s="51"/>
      <c r="S7" s="51"/>
      <c r="T7" s="51"/>
      <c r="U7" s="51"/>
      <c r="V7" s="51"/>
      <c r="W7" s="51"/>
      <c r="X7" s="51"/>
      <c r="Y7" s="51"/>
      <c r="Z7" s="51"/>
      <c r="AA7" s="51"/>
      <c r="AB7" s="51"/>
      <c r="AC7" s="51"/>
      <c r="AD7" s="51"/>
      <c r="AE7" s="51"/>
      <c r="AF7" s="51"/>
      <c r="AG7" s="51"/>
      <c r="AH7" s="51"/>
      <c r="AI7" s="17"/>
      <c r="AJ7" s="17"/>
      <c r="AK7" s="17"/>
      <c r="AL7" s="17"/>
      <c r="AM7" s="17"/>
      <c r="AN7" s="17"/>
      <c r="AO7" s="17"/>
      <c r="AP7" s="17"/>
      <c r="AQ7" s="17"/>
      <c r="AR7" s="17"/>
      <c r="AS7" s="17"/>
      <c r="AT7" s="17"/>
      <c r="AU7" s="17"/>
      <c r="AV7" s="17"/>
      <c r="AW7" s="17"/>
      <c r="AX7" s="17"/>
      <c r="AY7" s="17"/>
    </row>
    <row r="8" spans="1:51" x14ac:dyDescent="0.2">
      <c r="A8" s="21" t="s">
        <v>1206</v>
      </c>
      <c r="B8" s="20"/>
      <c r="C8" s="20"/>
      <c r="D8" s="20"/>
      <c r="E8" s="20">
        <v>38</v>
      </c>
      <c r="F8" s="20">
        <v>21</v>
      </c>
      <c r="G8" s="20"/>
      <c r="H8" s="20"/>
      <c r="I8" s="20"/>
      <c r="J8" s="20"/>
      <c r="K8" s="20">
        <v>175</v>
      </c>
      <c r="L8" s="20">
        <v>6</v>
      </c>
      <c r="M8" s="20" t="s">
        <v>558</v>
      </c>
      <c r="N8" s="17"/>
      <c r="O8" s="40" t="s">
        <v>1026</v>
      </c>
      <c r="P8" s="31"/>
      <c r="Q8" s="31"/>
      <c r="R8" s="31"/>
      <c r="S8" s="31"/>
      <c r="T8" s="31"/>
      <c r="U8" s="31"/>
      <c r="V8" s="31"/>
      <c r="W8" s="31"/>
      <c r="X8" s="31"/>
      <c r="Y8" s="31"/>
      <c r="Z8" s="31"/>
      <c r="AA8" s="31"/>
      <c r="AB8" s="31"/>
      <c r="AC8" s="31"/>
      <c r="AD8" s="31"/>
      <c r="AE8" s="31"/>
      <c r="AF8" s="31"/>
      <c r="AG8" s="31"/>
      <c r="AH8" s="32"/>
      <c r="AI8" s="17"/>
      <c r="AJ8" s="17"/>
      <c r="AK8" s="17"/>
      <c r="AL8" s="17"/>
      <c r="AM8" s="17"/>
      <c r="AN8" s="17"/>
      <c r="AO8" s="17"/>
      <c r="AP8" s="17"/>
      <c r="AQ8" s="17"/>
      <c r="AR8" s="17"/>
      <c r="AS8" s="17"/>
      <c r="AT8" s="17"/>
      <c r="AU8" s="17"/>
      <c r="AV8" s="17"/>
      <c r="AW8" s="17"/>
      <c r="AX8" s="17"/>
      <c r="AY8" s="17"/>
    </row>
    <row r="9" spans="1:51" x14ac:dyDescent="0.2">
      <c r="A9" s="21" t="s">
        <v>158</v>
      </c>
      <c r="B9" s="20"/>
      <c r="C9" s="20"/>
      <c r="D9" s="20">
        <v>29</v>
      </c>
      <c r="E9" s="20">
        <v>34</v>
      </c>
      <c r="F9" s="20">
        <v>18</v>
      </c>
      <c r="G9" s="20"/>
      <c r="H9" s="20"/>
      <c r="I9" s="20"/>
      <c r="J9" s="20">
        <v>6</v>
      </c>
      <c r="K9" s="20">
        <v>739</v>
      </c>
      <c r="L9" s="20"/>
      <c r="M9" s="20"/>
      <c r="N9" s="17"/>
      <c r="O9" s="41" t="s">
        <v>282</v>
      </c>
      <c r="P9" s="34"/>
      <c r="Q9" s="34"/>
      <c r="R9" s="34"/>
      <c r="S9" s="34"/>
      <c r="T9" s="34"/>
      <c r="U9" s="34"/>
      <c r="V9" s="34"/>
      <c r="W9" s="34"/>
      <c r="X9" s="34"/>
      <c r="Y9" s="34"/>
      <c r="Z9" s="34"/>
      <c r="AA9" s="34"/>
      <c r="AB9" s="34"/>
      <c r="AC9" s="34"/>
      <c r="AD9" s="34"/>
      <c r="AE9" s="34"/>
      <c r="AF9" s="34"/>
      <c r="AG9" s="34"/>
      <c r="AH9" s="35"/>
      <c r="AI9" s="17"/>
      <c r="AJ9" s="17"/>
      <c r="AK9" s="17"/>
      <c r="AL9" s="17"/>
      <c r="AM9" s="17"/>
      <c r="AN9" s="17"/>
      <c r="AO9" s="17"/>
      <c r="AP9" s="17"/>
      <c r="AQ9" s="17"/>
      <c r="AR9" s="17"/>
      <c r="AS9" s="17"/>
      <c r="AT9" s="17"/>
      <c r="AU9" s="17"/>
      <c r="AV9" s="17"/>
      <c r="AW9" s="17"/>
      <c r="AX9" s="17"/>
      <c r="AY9" s="17"/>
    </row>
    <row r="10" spans="1:51" x14ac:dyDescent="0.2">
      <c r="A10" s="21" t="s">
        <v>510</v>
      </c>
      <c r="B10" s="20">
        <v>2</v>
      </c>
      <c r="C10" s="20"/>
      <c r="D10" s="20"/>
      <c r="E10" s="20">
        <v>23</v>
      </c>
      <c r="F10" s="20"/>
      <c r="G10" s="20">
        <v>44</v>
      </c>
      <c r="H10" s="20"/>
      <c r="I10" s="20"/>
      <c r="J10" s="20"/>
      <c r="K10" s="20">
        <v>392</v>
      </c>
      <c r="L10" s="20"/>
      <c r="M10" s="20"/>
      <c r="N10" s="17"/>
      <c r="O10" s="42" t="s">
        <v>1026</v>
      </c>
      <c r="P10" s="37"/>
      <c r="Q10" s="37"/>
      <c r="R10" s="37"/>
      <c r="S10" s="37"/>
      <c r="T10" s="37"/>
      <c r="U10" s="37"/>
      <c r="V10" s="37"/>
      <c r="W10" s="37"/>
      <c r="X10" s="37"/>
      <c r="Y10" s="37"/>
      <c r="Z10" s="37"/>
      <c r="AA10" s="37"/>
      <c r="AB10" s="37"/>
      <c r="AC10" s="37"/>
      <c r="AD10" s="37"/>
      <c r="AE10" s="37"/>
      <c r="AF10" s="37"/>
      <c r="AG10" s="37"/>
      <c r="AH10" s="38"/>
      <c r="AI10" s="17"/>
      <c r="AJ10" s="17"/>
      <c r="AK10" s="17"/>
      <c r="AL10" s="17"/>
      <c r="AM10" s="17"/>
      <c r="AN10" s="17"/>
      <c r="AO10" s="17"/>
      <c r="AP10" s="17"/>
      <c r="AQ10" s="17"/>
      <c r="AR10" s="17"/>
      <c r="AS10" s="17"/>
      <c r="AT10" s="17"/>
      <c r="AU10" s="17"/>
      <c r="AV10" s="17"/>
      <c r="AW10" s="17"/>
      <c r="AX10" s="17"/>
      <c r="AY10" s="17"/>
    </row>
    <row r="11" spans="1:51" x14ac:dyDescent="0.2">
      <c r="A11" s="21" t="s">
        <v>713</v>
      </c>
      <c r="B11" s="20"/>
      <c r="C11" s="20"/>
      <c r="D11" s="20">
        <v>21</v>
      </c>
      <c r="E11" s="20">
        <v>45</v>
      </c>
      <c r="F11" s="20"/>
      <c r="G11" s="20"/>
      <c r="H11" s="20">
        <v>1</v>
      </c>
      <c r="I11" s="20"/>
      <c r="J11" s="20">
        <v>14</v>
      </c>
      <c r="K11" s="20">
        <v>800</v>
      </c>
      <c r="L11" s="20"/>
      <c r="M11" s="20"/>
      <c r="N11" s="17"/>
      <c r="O11" s="28" t="s">
        <v>289</v>
      </c>
      <c r="P11" s="52"/>
      <c r="Q11" s="52"/>
      <c r="R11" s="52"/>
      <c r="S11" s="52"/>
      <c r="T11" s="52"/>
      <c r="U11" s="52"/>
      <c r="V11" s="52"/>
      <c r="W11" s="52"/>
      <c r="X11" s="52"/>
      <c r="Y11" s="52"/>
      <c r="Z11" s="52"/>
      <c r="AA11" s="52">
        <v>69</v>
      </c>
      <c r="AB11" s="52">
        <v>130</v>
      </c>
      <c r="AC11" s="52">
        <v>2</v>
      </c>
      <c r="AD11" s="52">
        <f ca="1">51*0.8*VLOOKUP(O11,ProcChance,4,FALSE)*(WhiteMHConnects+YellowConnects+WindfuryConnects+HoJConnects)</f>
        <v>1.9720221625483625</v>
      </c>
      <c r="AE11" s="52">
        <f ca="1">51*0.8*VLOOKUP(O11,ProcChance,4,FALSE)*WhiteOHConnects</f>
        <v>1.0836479320095131</v>
      </c>
      <c r="AF11" s="52" t="s">
        <v>427</v>
      </c>
      <c r="AG11" s="52">
        <f ca="1">51*0.8*VLOOKUP(O11,ProcChance,4,FALSE)*(WhiteMHConnects20+YellowConnects20+WindfuryConnects20+HoJConnects20)</f>
        <v>2.5706275239396463</v>
      </c>
      <c r="AH11" s="52">
        <f ca="1">51*0.8*VLOOKUP(O11,ProcChance,4,FALSE)*WhiteOHConnects20</f>
        <v>1.0977046840245384</v>
      </c>
      <c r="AI11" s="17"/>
      <c r="AJ11" s="17"/>
      <c r="AK11" s="17"/>
      <c r="AL11" s="17"/>
      <c r="AM11" s="17"/>
      <c r="AN11" s="17"/>
      <c r="AO11" s="17"/>
      <c r="AP11" s="17"/>
      <c r="AQ11" s="17"/>
      <c r="AR11" s="17"/>
      <c r="AS11" s="17"/>
      <c r="AT11" s="17"/>
      <c r="AU11" s="17"/>
      <c r="AV11" s="17"/>
      <c r="AW11" s="17"/>
      <c r="AX11" s="17"/>
      <c r="AY11" s="17"/>
    </row>
    <row r="12" spans="1:51" x14ac:dyDescent="0.2">
      <c r="A12" s="21" t="s">
        <v>568</v>
      </c>
      <c r="B12" s="20"/>
      <c r="C12" s="20"/>
      <c r="D12" s="20"/>
      <c r="E12" s="20">
        <v>6</v>
      </c>
      <c r="F12" s="20">
        <v>5</v>
      </c>
      <c r="G12" s="20"/>
      <c r="H12" s="20"/>
      <c r="I12" s="20"/>
      <c r="J12" s="20"/>
      <c r="K12" s="20">
        <v>95</v>
      </c>
      <c r="L12" s="20">
        <v>7</v>
      </c>
      <c r="M12" s="20" t="s">
        <v>427</v>
      </c>
      <c r="N12" s="17"/>
      <c r="O12" s="27" t="s">
        <v>292</v>
      </c>
      <c r="P12" s="50"/>
      <c r="Q12" s="50"/>
      <c r="R12" s="50"/>
      <c r="S12" s="50"/>
      <c r="T12" s="50"/>
      <c r="U12" s="50"/>
      <c r="V12" s="50"/>
      <c r="W12" s="50"/>
      <c r="X12" s="50"/>
      <c r="Y12" s="50"/>
      <c r="Z12" s="50"/>
      <c r="AA12" s="50">
        <v>49</v>
      </c>
      <c r="AB12" s="50">
        <v>92</v>
      </c>
      <c r="AC12" s="50">
        <v>1.7</v>
      </c>
      <c r="AD12" s="50"/>
      <c r="AE12" s="50"/>
      <c r="AF12" s="50" t="s">
        <v>427</v>
      </c>
      <c r="AG12" s="50"/>
      <c r="AH12" s="50"/>
      <c r="AI12" s="17"/>
      <c r="AJ12" s="17"/>
      <c r="AK12" s="17"/>
      <c r="AL12" s="17"/>
      <c r="AM12" s="17"/>
      <c r="AN12" s="17"/>
      <c r="AO12" s="17"/>
      <c r="AP12" s="17"/>
      <c r="AQ12" s="17"/>
      <c r="AR12" s="17"/>
      <c r="AS12" s="17"/>
      <c r="AT12" s="17"/>
      <c r="AU12" s="17"/>
      <c r="AV12" s="17"/>
      <c r="AW12" s="17"/>
      <c r="AX12" s="17"/>
      <c r="AY12" s="17"/>
    </row>
    <row r="13" spans="1:51" x14ac:dyDescent="0.2">
      <c r="A13" s="21" t="s">
        <v>712</v>
      </c>
      <c r="B13" s="20">
        <v>1</v>
      </c>
      <c r="C13" s="20">
        <v>1</v>
      </c>
      <c r="D13" s="20">
        <v>18</v>
      </c>
      <c r="E13" s="20"/>
      <c r="F13" s="20"/>
      <c r="G13" s="20"/>
      <c r="H13" s="20"/>
      <c r="I13" s="20"/>
      <c r="J13" s="20"/>
      <c r="K13" s="20">
        <v>445</v>
      </c>
      <c r="L13" s="20"/>
      <c r="M13" s="20"/>
      <c r="N13" s="17"/>
      <c r="O13" s="27" t="s">
        <v>297</v>
      </c>
      <c r="P13" s="50"/>
      <c r="Q13" s="50"/>
      <c r="R13" s="50"/>
      <c r="S13" s="50"/>
      <c r="T13" s="50"/>
      <c r="U13" s="50"/>
      <c r="V13" s="50"/>
      <c r="W13" s="50"/>
      <c r="X13" s="50"/>
      <c r="Y13" s="50"/>
      <c r="Z13" s="50"/>
      <c r="AA13" s="50">
        <v>78</v>
      </c>
      <c r="AB13" s="50">
        <v>146</v>
      </c>
      <c r="AC13" s="50">
        <v>2.7</v>
      </c>
      <c r="AD13" s="50">
        <f ca="1">108*VLOOKUP(O13,ProcChance,4,FALSE)*0.8*(WhiteMHConnects+YellowConnects+WindfuryConnects+HoJConnects)*IF(Spell_Crit&gt;0,1+1.5*Spell_Crit/100,1)</f>
        <v>4.7732216437964716</v>
      </c>
      <c r="AE13" s="50">
        <f ca="1">108*VLOOKUP(O13,ProcChance,4,FALSE)*0.8*WhiteOHConnects*IF(Spell_Crit&gt;0,1+1.5*Spell_Crit/100,1)</f>
        <v>2.6229379474310259</v>
      </c>
      <c r="AF13" s="50" t="s">
        <v>427</v>
      </c>
      <c r="AG13" s="50">
        <f ca="1">108*VLOOKUP(O13,ProcChance,4,FALSE)*0.8*(WhiteMHConnects20+YellowConnects20+WindfuryConnects20+HoJConnects20)*IF(Spell_Crit&gt;0,1+1.5*Spell_Crit/100,1)</f>
        <v>6.2221283150040323</v>
      </c>
      <c r="AH13" s="50">
        <f ca="1">108*VLOOKUP(O13,ProcChance,4,FALSE)*0.8*WhiteOHConnects20*IF(Spell_Crit&gt;0,1+1.5*Spell_Crit/100,1)</f>
        <v>2.6569619022495115</v>
      </c>
      <c r="AI13" s="17"/>
      <c r="AJ13" s="17"/>
      <c r="AK13" s="17"/>
      <c r="AL13" s="17"/>
      <c r="AM13" s="17"/>
      <c r="AN13" s="17"/>
      <c r="AO13" s="17"/>
      <c r="AP13" s="17"/>
      <c r="AQ13" s="17"/>
      <c r="AR13" s="17"/>
      <c r="AS13" s="17"/>
      <c r="AT13" s="17"/>
      <c r="AU13" s="17"/>
      <c r="AV13" s="17"/>
      <c r="AW13" s="17"/>
      <c r="AX13" s="17"/>
      <c r="AY13" s="17"/>
    </row>
    <row r="14" spans="1:51" x14ac:dyDescent="0.2">
      <c r="A14" s="21" t="s">
        <v>160</v>
      </c>
      <c r="B14" s="20"/>
      <c r="C14" s="20"/>
      <c r="D14" s="20">
        <v>21</v>
      </c>
      <c r="E14" s="20">
        <v>28</v>
      </c>
      <c r="F14" s="20">
        <v>11</v>
      </c>
      <c r="G14" s="20"/>
      <c r="H14" s="20"/>
      <c r="I14" s="20">
        <v>1</v>
      </c>
      <c r="J14" s="20">
        <v>7</v>
      </c>
      <c r="K14" s="20">
        <v>661</v>
      </c>
      <c r="L14" s="20"/>
      <c r="M14" s="20"/>
      <c r="N14" s="17"/>
      <c r="O14" s="27" t="s">
        <v>283</v>
      </c>
      <c r="P14" s="50">
        <v>1</v>
      </c>
      <c r="Q14" s="50"/>
      <c r="R14" s="50"/>
      <c r="S14" s="50">
        <v>9</v>
      </c>
      <c r="T14" s="50"/>
      <c r="U14" s="50">
        <v>14</v>
      </c>
      <c r="V14" s="50"/>
      <c r="W14" s="50"/>
      <c r="X14" s="50"/>
      <c r="Y14" s="50"/>
      <c r="Z14" s="50"/>
      <c r="AA14" s="50">
        <v>110</v>
      </c>
      <c r="AB14" s="50">
        <v>205</v>
      </c>
      <c r="AC14" s="50">
        <v>2.6</v>
      </c>
      <c r="AD14" s="50"/>
      <c r="AE14" s="50"/>
      <c r="AF14" s="50" t="s">
        <v>427</v>
      </c>
      <c r="AG14" s="50"/>
      <c r="AH14" s="50"/>
      <c r="AI14" s="17"/>
      <c r="AJ14" s="17"/>
      <c r="AK14" s="17"/>
      <c r="AL14" s="17"/>
      <c r="AM14" s="17"/>
      <c r="AN14" s="17"/>
      <c r="AO14" s="17"/>
      <c r="AP14" s="17"/>
      <c r="AQ14" s="17"/>
      <c r="AR14" s="17"/>
      <c r="AS14" s="17"/>
      <c r="AT14" s="17"/>
      <c r="AU14" s="17"/>
      <c r="AV14" s="17"/>
      <c r="AW14" s="17"/>
      <c r="AX14" s="17"/>
      <c r="AY14" s="17"/>
    </row>
    <row r="15" spans="1:51" x14ac:dyDescent="0.2">
      <c r="A15" s="21" t="s">
        <v>99</v>
      </c>
      <c r="B15" s="20"/>
      <c r="C15" s="20"/>
      <c r="D15" s="20">
        <v>26</v>
      </c>
      <c r="E15" s="20">
        <v>29</v>
      </c>
      <c r="F15" s="20">
        <v>26</v>
      </c>
      <c r="G15" s="20"/>
      <c r="H15" s="20"/>
      <c r="I15" s="20"/>
      <c r="J15" s="20"/>
      <c r="K15" s="20">
        <v>679</v>
      </c>
      <c r="L15" s="20"/>
      <c r="M15" s="20"/>
      <c r="N15" s="17"/>
      <c r="O15" s="27" t="s">
        <v>293</v>
      </c>
      <c r="P15" s="50"/>
      <c r="Q15" s="50"/>
      <c r="R15" s="50"/>
      <c r="S15" s="50">
        <v>5</v>
      </c>
      <c r="T15" s="50">
        <v>13</v>
      </c>
      <c r="U15" s="50"/>
      <c r="V15" s="50"/>
      <c r="W15" s="50"/>
      <c r="X15" s="50"/>
      <c r="Y15" s="50"/>
      <c r="Z15" s="50"/>
      <c r="AA15" s="50">
        <v>48</v>
      </c>
      <c r="AB15" s="50">
        <v>90</v>
      </c>
      <c r="AC15" s="50">
        <v>1.7</v>
      </c>
      <c r="AD15" s="50"/>
      <c r="AE15" s="50"/>
      <c r="AF15" s="50" t="s">
        <v>427</v>
      </c>
      <c r="AG15" s="50"/>
      <c r="AH15" s="50"/>
      <c r="AI15" s="17"/>
      <c r="AJ15" s="17"/>
      <c r="AK15" s="17"/>
      <c r="AL15" s="17"/>
      <c r="AM15" s="17"/>
      <c r="AN15" s="17"/>
      <c r="AO15" s="17"/>
      <c r="AP15" s="17"/>
      <c r="AQ15" s="17"/>
      <c r="AR15" s="17"/>
      <c r="AS15" s="17"/>
      <c r="AT15" s="17"/>
      <c r="AU15" s="17"/>
      <c r="AV15" s="17"/>
      <c r="AW15" s="17"/>
      <c r="AX15" s="17"/>
      <c r="AY15" s="17"/>
    </row>
    <row r="16" spans="1:51" x14ac:dyDescent="0.2">
      <c r="A16" s="21" t="s">
        <v>163</v>
      </c>
      <c r="B16" s="20">
        <v>1</v>
      </c>
      <c r="C16" s="20"/>
      <c r="D16" s="20">
        <v>18</v>
      </c>
      <c r="E16" s="20">
        <v>32</v>
      </c>
      <c r="F16" s="20"/>
      <c r="G16" s="20"/>
      <c r="H16" s="20"/>
      <c r="I16" s="20"/>
      <c r="J16" s="20"/>
      <c r="K16" s="20">
        <v>556</v>
      </c>
      <c r="L16" s="20"/>
      <c r="M16" s="20"/>
      <c r="N16" s="17"/>
      <c r="O16" s="27" t="s">
        <v>406</v>
      </c>
      <c r="P16" s="50"/>
      <c r="Q16" s="50"/>
      <c r="R16" s="50"/>
      <c r="S16" s="50">
        <v>13</v>
      </c>
      <c r="T16" s="50"/>
      <c r="U16" s="50">
        <v>36</v>
      </c>
      <c r="V16" s="50"/>
      <c r="W16" s="50"/>
      <c r="X16" s="50"/>
      <c r="Y16" s="50"/>
      <c r="Z16" s="50"/>
      <c r="AA16" s="50">
        <v>101</v>
      </c>
      <c r="AB16" s="50">
        <v>188</v>
      </c>
      <c r="AC16" s="50">
        <v>2.2999999999999998</v>
      </c>
      <c r="AD16" s="50"/>
      <c r="AE16" s="50"/>
      <c r="AF16" s="50" t="s">
        <v>427</v>
      </c>
      <c r="AG16" s="50"/>
      <c r="AH16" s="50"/>
      <c r="AI16" s="17"/>
      <c r="AJ16" s="17"/>
      <c r="AK16" s="17"/>
      <c r="AL16" s="17"/>
      <c r="AM16" s="17"/>
      <c r="AN16" s="17"/>
      <c r="AO16" s="17"/>
      <c r="AP16" s="17"/>
      <c r="AQ16" s="17"/>
      <c r="AR16" s="17"/>
      <c r="AS16" s="17"/>
      <c r="AT16" s="17"/>
      <c r="AU16" s="17"/>
      <c r="AV16" s="17"/>
      <c r="AW16" s="17"/>
      <c r="AX16" s="17"/>
      <c r="AY16" s="17"/>
    </row>
    <row r="17" spans="1:51" x14ac:dyDescent="0.2">
      <c r="A17" s="21" t="s">
        <v>161</v>
      </c>
      <c r="B17" s="20"/>
      <c r="C17" s="20">
        <f>IF(Patch&lt;5,1,0)</f>
        <v>0</v>
      </c>
      <c r="D17" s="20">
        <f>IF(Patch&lt;5,17,15)</f>
        <v>15</v>
      </c>
      <c r="E17" s="20">
        <f>IF(Patch&lt;5,27,35)</f>
        <v>35</v>
      </c>
      <c r="F17" s="20">
        <f>IF(Patch&lt;5,10,0)</f>
        <v>0</v>
      </c>
      <c r="G17" s="20"/>
      <c r="H17" s="20">
        <f>IF(Patch&lt;5,0,1)</f>
        <v>1</v>
      </c>
      <c r="I17" s="20"/>
      <c r="J17" s="20">
        <f>IF(Patch&lt;5,0,IF(Patch&lt;7,10,7))</f>
        <v>7</v>
      </c>
      <c r="K17" s="20">
        <v>608</v>
      </c>
      <c r="L17" s="20"/>
      <c r="M17" s="20"/>
      <c r="N17" s="17"/>
      <c r="O17" s="27" t="s">
        <v>290</v>
      </c>
      <c r="P17" s="50"/>
      <c r="Q17" s="50"/>
      <c r="R17" s="50">
        <v>10</v>
      </c>
      <c r="S17" s="50"/>
      <c r="T17" s="50"/>
      <c r="U17" s="50"/>
      <c r="V17" s="50"/>
      <c r="W17" s="50"/>
      <c r="X17" s="50"/>
      <c r="Y17" s="50"/>
      <c r="Z17" s="50"/>
      <c r="AA17" s="50">
        <v>71</v>
      </c>
      <c r="AB17" s="50">
        <v>134</v>
      </c>
      <c r="AC17" s="50">
        <v>2.4</v>
      </c>
      <c r="AD17" s="50"/>
      <c r="AE17" s="50"/>
      <c r="AF17" s="50" t="s">
        <v>427</v>
      </c>
      <c r="AG17" s="50"/>
      <c r="AH17" s="50"/>
      <c r="AI17" s="17"/>
      <c r="AJ17" s="17"/>
      <c r="AK17" s="17"/>
      <c r="AL17" s="17"/>
      <c r="AM17" s="17"/>
      <c r="AN17" s="17"/>
      <c r="AO17" s="17"/>
      <c r="AP17" s="17"/>
      <c r="AQ17" s="17"/>
      <c r="AR17" s="17"/>
      <c r="AS17" s="17"/>
      <c r="AT17" s="17"/>
      <c r="AU17" s="17"/>
      <c r="AV17" s="17"/>
      <c r="AW17" s="17"/>
      <c r="AX17" s="17"/>
      <c r="AY17" s="17"/>
    </row>
    <row r="18" spans="1:51" x14ac:dyDescent="0.2">
      <c r="A18" s="21" t="s">
        <v>714</v>
      </c>
      <c r="B18" s="20"/>
      <c r="C18" s="20">
        <v>2</v>
      </c>
      <c r="D18" s="20">
        <v>14</v>
      </c>
      <c r="E18" s="20">
        <v>20</v>
      </c>
      <c r="F18" s="20"/>
      <c r="G18" s="20"/>
      <c r="H18" s="20"/>
      <c r="I18" s="20"/>
      <c r="J18" s="20"/>
      <c r="K18" s="20">
        <v>534</v>
      </c>
      <c r="L18" s="20"/>
      <c r="M18" s="20"/>
      <c r="N18" s="17"/>
      <c r="O18" s="27" t="s">
        <v>286</v>
      </c>
      <c r="P18" s="50"/>
      <c r="Q18" s="50"/>
      <c r="R18" s="50"/>
      <c r="S18" s="50"/>
      <c r="T18" s="50"/>
      <c r="U18" s="50"/>
      <c r="V18" s="50"/>
      <c r="W18" s="50"/>
      <c r="X18" s="50"/>
      <c r="Y18" s="50"/>
      <c r="Z18" s="50"/>
      <c r="AA18" s="50">
        <f>IF(Patch&lt;4,94,114)</f>
        <v>114</v>
      </c>
      <c r="AB18" s="50">
        <f>IF(Patch&lt;4,175,213)</f>
        <v>213</v>
      </c>
      <c r="AC18" s="50">
        <v>2.9</v>
      </c>
      <c r="AD18" s="50">
        <f ca="1">IF(Patch&lt;4,50,125)*0.8*VLOOKUP(O18,ProcChance,4,FALSE)*(WhiteMHConnects+YellowConnects+WindfuryConnects+HoJConnects)*IF(Spell_Crit&gt;0,1+1.5*Spell_Crit/100,1)</f>
        <v>7.4172361363006711</v>
      </c>
      <c r="AE18" s="50">
        <f ca="1">IF(Patch&lt;4,50,125)*0.8*VLOOKUP(O18,ProcChance,4,FALSE)*WhiteOHConnects*IF(Spell_Crit&gt;0,1+1.5*Spell_Crit/100,1)</f>
        <v>4.0758530776052249</v>
      </c>
      <c r="AF18" s="50" t="s">
        <v>427</v>
      </c>
      <c r="AG18" s="50">
        <f ca="1">IF(Patch&lt;4,50,125)*0.8*VLOOKUP(O18,ProcChance,4,FALSE)*(WhiteMHConnects20+YellowConnects20+WindfuryConnects20+HoJConnects20)*IF(Spell_Crit&gt;0,1+1.5*Spell_Crit/100,1)</f>
        <v>9.6687307707002805</v>
      </c>
      <c r="AH18" s="50">
        <f ca="1">IF(Patch&lt;4,50,125)*0.8*VLOOKUP(O18,ProcChance,4,FALSE)*WhiteOHConnects20*IF(Spell_Crit&gt;0,1+1.5*Spell_Crit/100,1)</f>
        <v>4.1287238064362475</v>
      </c>
      <c r="AI18" s="17"/>
      <c r="AJ18" s="17"/>
      <c r="AK18" s="17"/>
      <c r="AL18" s="17"/>
      <c r="AM18" s="17"/>
      <c r="AN18" s="17"/>
      <c r="AO18" s="17"/>
      <c r="AP18" s="17"/>
      <c r="AQ18" s="17"/>
      <c r="AR18" s="17"/>
      <c r="AS18" s="17"/>
      <c r="AT18" s="17"/>
      <c r="AU18" s="17"/>
      <c r="AV18" s="17"/>
      <c r="AW18" s="17"/>
      <c r="AX18" s="17"/>
      <c r="AY18" s="17"/>
    </row>
    <row r="19" spans="1:51" x14ac:dyDescent="0.2">
      <c r="A19" s="21" t="s">
        <v>162</v>
      </c>
      <c r="B19" s="20"/>
      <c r="C19" s="20"/>
      <c r="D19" s="20">
        <v>15</v>
      </c>
      <c r="E19" s="20">
        <v>23</v>
      </c>
      <c r="F19" s="20">
        <v>9</v>
      </c>
      <c r="G19" s="20"/>
      <c r="H19" s="20"/>
      <c r="I19" s="20"/>
      <c r="J19" s="20"/>
      <c r="K19" s="20">
        <v>526</v>
      </c>
      <c r="L19" s="20"/>
      <c r="M19" s="20"/>
      <c r="N19" s="17"/>
      <c r="O19" s="27" t="s">
        <v>287</v>
      </c>
      <c r="P19" s="50"/>
      <c r="Q19" s="50"/>
      <c r="R19" s="50">
        <v>9</v>
      </c>
      <c r="S19" s="50">
        <v>7</v>
      </c>
      <c r="T19" s="50">
        <v>16</v>
      </c>
      <c r="U19" s="50"/>
      <c r="V19" s="50"/>
      <c r="W19" s="50"/>
      <c r="X19" s="50"/>
      <c r="Y19" s="50"/>
      <c r="Z19" s="50"/>
      <c r="AA19" s="50">
        <v>83</v>
      </c>
      <c r="AB19" s="50">
        <v>154</v>
      </c>
      <c r="AC19" s="50">
        <v>2.2999999999999998</v>
      </c>
      <c r="AD19" s="50"/>
      <c r="AE19" s="50"/>
      <c r="AF19" s="50" t="s">
        <v>427</v>
      </c>
      <c r="AG19" s="50"/>
      <c r="AH19" s="50"/>
      <c r="AI19" s="17"/>
      <c r="AJ19" s="17"/>
      <c r="AK19" s="17"/>
      <c r="AL19" s="17"/>
      <c r="AM19" s="17"/>
      <c r="AN19" s="17"/>
      <c r="AO19" s="17"/>
      <c r="AP19" s="17"/>
      <c r="AQ19" s="17"/>
      <c r="AR19" s="17"/>
      <c r="AS19" s="17"/>
      <c r="AT19" s="17"/>
      <c r="AU19" s="17"/>
      <c r="AV19" s="17"/>
      <c r="AW19" s="17"/>
      <c r="AX19" s="17"/>
      <c r="AY19" s="17"/>
    </row>
    <row r="20" spans="1:51" x14ac:dyDescent="0.2">
      <c r="A20" s="21" t="s">
        <v>159</v>
      </c>
      <c r="B20" s="20">
        <f>IF(Patch&lt;5,1,0)</f>
        <v>0</v>
      </c>
      <c r="C20" s="20"/>
      <c r="D20" s="20">
        <f>IF(Patch&lt;5,22,17)</f>
        <v>17</v>
      </c>
      <c r="E20" s="20">
        <f>IF(Patch&lt;5,36,40)</f>
        <v>40</v>
      </c>
      <c r="F20" s="20">
        <f>IF(Patch&lt;5,8,0)</f>
        <v>0</v>
      </c>
      <c r="G20" s="20"/>
      <c r="H20" s="20"/>
      <c r="I20" s="20"/>
      <c r="J20" s="20">
        <f>IF(Patch&lt;5,0,IF(Patch&lt;7,16,11))</f>
        <v>11</v>
      </c>
      <c r="K20" s="20">
        <v>696</v>
      </c>
      <c r="L20" s="20"/>
      <c r="M20" s="20"/>
      <c r="N20" s="17"/>
      <c r="O20" s="27" t="s">
        <v>914</v>
      </c>
      <c r="P20" s="50"/>
      <c r="Q20" s="50"/>
      <c r="R20" s="50"/>
      <c r="S20" s="50"/>
      <c r="T20" s="50"/>
      <c r="U20" s="50"/>
      <c r="V20" s="50"/>
      <c r="W20" s="50"/>
      <c r="X20" s="50"/>
      <c r="Y20" s="50"/>
      <c r="Z20" s="50"/>
      <c r="AA20" s="50">
        <v>37</v>
      </c>
      <c r="AB20" s="50">
        <v>69</v>
      </c>
      <c r="AC20" s="50">
        <v>1.5</v>
      </c>
      <c r="AD20" s="50">
        <f ca="1">VLOOKUP(O20,ProcChance,4,FALSE)*(BaseDamage+NetAP/14*BaseSpeed)*WhiteHitMod*(WhiteMHConnects+YellowConnects)</f>
        <v>9.332186718738706</v>
      </c>
      <c r="AE20" s="50">
        <f ca="1">VLOOKUP(O20,ProcChance,4,FALSE)*(BaseDamage+NetAP/14*BaseSpeed)*WhiteHitMod*WhiteOHSwings</f>
        <v>6.5610792563695792</v>
      </c>
      <c r="AF20" s="50" t="s">
        <v>427</v>
      </c>
      <c r="AG20" s="50">
        <f ca="1">VLOOKUP(O20,ProcChance,4,FALSE)*(WhiteMHConnects20+YellowConnects20)*(BaseDamage+NetAP20/14*BaseSpeed)*WhiteHitMod20</f>
        <v>12.232207325538758</v>
      </c>
      <c r="AH20" s="50">
        <f ca="1">VLOOKUP(O20,ProcChance,4,FALSE)*WhiteOHConnects20*(BaseDamage+NetAP20/14*BaseSpeed)*WhiteHitMod20</f>
        <v>5.2233748966574964</v>
      </c>
      <c r="AI20" s="17"/>
      <c r="AJ20" s="17"/>
      <c r="AK20" s="17"/>
      <c r="AL20" s="17"/>
      <c r="AM20" s="17"/>
      <c r="AN20" s="17"/>
      <c r="AO20" s="17"/>
      <c r="AP20" s="17"/>
      <c r="AQ20" s="17"/>
      <c r="AR20" s="17"/>
      <c r="AS20" s="17"/>
      <c r="AT20" s="17"/>
      <c r="AU20" s="17"/>
      <c r="AV20" s="17"/>
      <c r="AW20" s="17"/>
      <c r="AX20" s="17"/>
      <c r="AY20" s="17"/>
    </row>
    <row r="21" spans="1:51" x14ac:dyDescent="0.2">
      <c r="A21" s="21" t="s">
        <v>11</v>
      </c>
      <c r="B21" s="20">
        <v>2</v>
      </c>
      <c r="C21" s="20">
        <v>2</v>
      </c>
      <c r="D21" s="20">
        <v>18</v>
      </c>
      <c r="E21" s="20"/>
      <c r="F21" s="20"/>
      <c r="G21" s="20"/>
      <c r="H21" s="20"/>
      <c r="I21" s="20"/>
      <c r="J21" s="20"/>
      <c r="K21" s="20">
        <v>565</v>
      </c>
      <c r="L21" s="20"/>
      <c r="M21" s="20"/>
      <c r="N21" s="17"/>
      <c r="O21" s="27" t="s">
        <v>291</v>
      </c>
      <c r="P21" s="50"/>
      <c r="Q21" s="50"/>
      <c r="R21" s="50">
        <v>15</v>
      </c>
      <c r="S21" s="50"/>
      <c r="T21" s="50"/>
      <c r="U21" s="50"/>
      <c r="V21" s="50"/>
      <c r="W21" s="50"/>
      <c r="X21" s="50"/>
      <c r="Y21" s="50"/>
      <c r="Z21" s="50"/>
      <c r="AA21" s="50">
        <v>80</v>
      </c>
      <c r="AB21" s="50">
        <v>150</v>
      </c>
      <c r="AC21" s="50">
        <v>2.7</v>
      </c>
      <c r="AD21" s="50"/>
      <c r="AE21" s="50"/>
      <c r="AF21" s="50" t="s">
        <v>427</v>
      </c>
      <c r="AG21" s="50"/>
      <c r="AH21" s="50"/>
      <c r="AI21" s="17"/>
      <c r="AJ21" s="17"/>
      <c r="AK21" s="17"/>
      <c r="AL21" s="17"/>
      <c r="AM21" s="17"/>
      <c r="AN21" s="17"/>
      <c r="AO21" s="17"/>
      <c r="AP21" s="17"/>
      <c r="AQ21" s="17"/>
      <c r="AR21" s="17"/>
      <c r="AS21" s="17"/>
      <c r="AT21" s="17"/>
      <c r="AU21" s="17"/>
      <c r="AV21" s="17"/>
      <c r="AW21" s="17"/>
      <c r="AX21" s="17"/>
      <c r="AY21" s="17"/>
    </row>
    <row r="22" spans="1:51" x14ac:dyDescent="0.2">
      <c r="A22" s="21" t="s">
        <v>656</v>
      </c>
      <c r="B22" s="20">
        <v>1</v>
      </c>
      <c r="C22" s="20">
        <v>2</v>
      </c>
      <c r="D22" s="20"/>
      <c r="E22" s="20">
        <v>12</v>
      </c>
      <c r="F22" s="20"/>
      <c r="G22" s="20"/>
      <c r="H22" s="20"/>
      <c r="I22" s="20"/>
      <c r="J22" s="20"/>
      <c r="K22" s="20">
        <v>123</v>
      </c>
      <c r="L22" s="20"/>
      <c r="M22" s="20"/>
      <c r="N22" s="17"/>
      <c r="O22" s="27" t="s">
        <v>1164</v>
      </c>
      <c r="P22" s="50">
        <v>1</v>
      </c>
      <c r="Q22" s="50"/>
      <c r="R22" s="50"/>
      <c r="S22" s="50"/>
      <c r="T22" s="50"/>
      <c r="U22" s="50">
        <v>36</v>
      </c>
      <c r="V22" s="50"/>
      <c r="W22" s="50"/>
      <c r="X22" s="50"/>
      <c r="Y22" s="50"/>
      <c r="Z22" s="50"/>
      <c r="AA22" s="50">
        <v>119</v>
      </c>
      <c r="AB22" s="50">
        <v>221</v>
      </c>
      <c r="AC22" s="50">
        <v>2.6</v>
      </c>
      <c r="AD22" s="50"/>
      <c r="AE22" s="50"/>
      <c r="AF22" s="50" t="s">
        <v>427</v>
      </c>
      <c r="AG22" s="50"/>
      <c r="AH22" s="50"/>
      <c r="AI22" s="17"/>
      <c r="AJ22" s="17"/>
      <c r="AK22" s="17"/>
      <c r="AL22" s="17"/>
      <c r="AM22" s="17"/>
      <c r="AN22" s="17"/>
      <c r="AO22" s="17"/>
      <c r="AP22" s="17"/>
      <c r="AQ22" s="17"/>
      <c r="AR22" s="17"/>
      <c r="AS22" s="17"/>
      <c r="AT22" s="17"/>
      <c r="AU22" s="17"/>
      <c r="AV22" s="17"/>
      <c r="AW22" s="17"/>
      <c r="AX22" s="17"/>
      <c r="AY22" s="17"/>
    </row>
    <row r="23" spans="1:51" x14ac:dyDescent="0.2">
      <c r="A23" s="21" t="s">
        <v>716</v>
      </c>
      <c r="B23" s="20">
        <f>IF(Patch&lt;9,0,1)</f>
        <v>1</v>
      </c>
      <c r="C23" s="20">
        <f>IF(Patch&lt;9,0,1)</f>
        <v>1</v>
      </c>
      <c r="D23" s="20">
        <f>IF(Patch&lt;9,9,21)</f>
        <v>21</v>
      </c>
      <c r="E23" s="20">
        <f>IF(Patch&lt;9,31,24)</f>
        <v>24</v>
      </c>
      <c r="F23" s="20">
        <f>IF(Patch&lt;9,8,0)</f>
        <v>0</v>
      </c>
      <c r="G23" s="20"/>
      <c r="H23" s="20"/>
      <c r="I23" s="20"/>
      <c r="J23" s="20"/>
      <c r="K23" s="20">
        <f>IF(Patch&lt;9,534,598)</f>
        <v>598</v>
      </c>
      <c r="L23" s="20"/>
      <c r="M23" s="20"/>
      <c r="N23" s="17"/>
      <c r="O23" s="27" t="s">
        <v>294</v>
      </c>
      <c r="P23" s="50"/>
      <c r="Q23" s="50"/>
      <c r="R23" s="50"/>
      <c r="S23" s="50"/>
      <c r="T23" s="50"/>
      <c r="U23" s="50"/>
      <c r="V23" s="50"/>
      <c r="W23" s="50"/>
      <c r="X23" s="50"/>
      <c r="Y23" s="50"/>
      <c r="Z23" s="50"/>
      <c r="AA23" s="50">
        <v>58</v>
      </c>
      <c r="AB23" s="50">
        <v>111</v>
      </c>
      <c r="AC23" s="50">
        <v>2</v>
      </c>
      <c r="AD23" s="50"/>
      <c r="AE23" s="50"/>
      <c r="AF23" s="50" t="s">
        <v>427</v>
      </c>
      <c r="AG23" s="50"/>
      <c r="AH23" s="50"/>
      <c r="AI23" s="17"/>
      <c r="AJ23" s="17"/>
      <c r="AK23" s="17"/>
      <c r="AL23" s="17"/>
      <c r="AM23" s="17"/>
      <c r="AN23" s="17"/>
      <c r="AO23" s="17"/>
      <c r="AP23" s="17"/>
      <c r="AQ23" s="17"/>
      <c r="AR23" s="17"/>
      <c r="AS23" s="17"/>
      <c r="AT23" s="17"/>
      <c r="AU23" s="17"/>
      <c r="AV23" s="17"/>
      <c r="AW23" s="17"/>
      <c r="AX23" s="17"/>
      <c r="AY23" s="17"/>
    </row>
    <row r="24" spans="1:51" x14ac:dyDescent="0.2">
      <c r="A24" s="21" t="s">
        <v>715</v>
      </c>
      <c r="B24" s="20">
        <f>IF(Patch&lt;10,0,1)</f>
        <v>1</v>
      </c>
      <c r="C24" s="20"/>
      <c r="D24" s="20">
        <f>IF(Patch&lt;10,19,28)</f>
        <v>28</v>
      </c>
      <c r="E24" s="20">
        <f>IF(Patch&lt;10,35,34)</f>
        <v>34</v>
      </c>
      <c r="F24" s="20">
        <f>IF(Patch&lt;10,15,0)</f>
        <v>0</v>
      </c>
      <c r="G24" s="20"/>
      <c r="H24" s="20"/>
      <c r="I24" s="20"/>
      <c r="J24" s="20"/>
      <c r="K24" s="20">
        <f>IF(Patch&lt;10,599,719)</f>
        <v>719</v>
      </c>
      <c r="L24" s="20"/>
      <c r="M24" s="20"/>
      <c r="N24" s="17"/>
      <c r="O24" s="27" t="s">
        <v>788</v>
      </c>
      <c r="P24" s="50">
        <v>1</v>
      </c>
      <c r="Q24" s="50"/>
      <c r="R24" s="50"/>
      <c r="S24" s="50">
        <f>IF(Patch&lt;6,6,7)</f>
        <v>7</v>
      </c>
      <c r="T24" s="50"/>
      <c r="U24" s="50">
        <f>IF(Patch&lt;6,12,28)</f>
        <v>28</v>
      </c>
      <c r="V24" s="50"/>
      <c r="W24" s="50"/>
      <c r="X24" s="50"/>
      <c r="Y24" s="50"/>
      <c r="Z24" s="50"/>
      <c r="AA24" s="50">
        <f>IF(Patch&lt;6,115,138)</f>
        <v>138</v>
      </c>
      <c r="AB24" s="50">
        <f>IF(Patch&lt;6,173,207)</f>
        <v>207</v>
      </c>
      <c r="AC24" s="50">
        <v>2.9</v>
      </c>
      <c r="AD24" s="50"/>
      <c r="AE24" s="50"/>
      <c r="AF24" s="50" t="s">
        <v>427</v>
      </c>
      <c r="AG24" s="50"/>
      <c r="AH24" s="50"/>
      <c r="AI24" s="17"/>
      <c r="AJ24" s="17"/>
      <c r="AK24" s="17"/>
      <c r="AL24" s="17"/>
      <c r="AM24" s="17"/>
      <c r="AN24" s="17"/>
      <c r="AO24" s="17"/>
      <c r="AP24" s="17"/>
      <c r="AQ24" s="17"/>
      <c r="AR24" s="17"/>
      <c r="AS24" s="17"/>
      <c r="AT24" s="17"/>
      <c r="AU24" s="17"/>
      <c r="AV24" s="17"/>
      <c r="AW24" s="17"/>
      <c r="AX24" s="17"/>
      <c r="AY24" s="17"/>
    </row>
    <row r="25" spans="1:51" x14ac:dyDescent="0.2">
      <c r="A25" s="18"/>
      <c r="B25" s="18"/>
      <c r="C25" s="18"/>
      <c r="D25" s="18"/>
      <c r="E25" s="18"/>
      <c r="F25" s="18"/>
      <c r="G25" s="18"/>
      <c r="H25" s="18"/>
      <c r="I25" s="18"/>
      <c r="J25" s="18"/>
      <c r="K25" s="18"/>
      <c r="L25" s="18"/>
      <c r="M25" s="18"/>
      <c r="N25" s="17"/>
      <c r="O25" s="27" t="s">
        <v>296</v>
      </c>
      <c r="P25" s="50"/>
      <c r="Q25" s="50"/>
      <c r="R25" s="50">
        <v>9</v>
      </c>
      <c r="S25" s="50"/>
      <c r="T25" s="50"/>
      <c r="U25" s="50"/>
      <c r="V25" s="50"/>
      <c r="W25" s="50"/>
      <c r="X25" s="50"/>
      <c r="Y25" s="50">
        <v>100</v>
      </c>
      <c r="Z25" s="50"/>
      <c r="AA25" s="50">
        <v>53</v>
      </c>
      <c r="AB25" s="50">
        <v>99</v>
      </c>
      <c r="AC25" s="50">
        <v>1.9</v>
      </c>
      <c r="AD25" s="50"/>
      <c r="AE25" s="50"/>
      <c r="AF25" s="50" t="s">
        <v>427</v>
      </c>
      <c r="AG25" s="50"/>
      <c r="AH25" s="50"/>
      <c r="AI25" s="17"/>
      <c r="AJ25" s="17"/>
      <c r="AK25" s="17"/>
      <c r="AL25" s="17"/>
      <c r="AM25" s="17"/>
      <c r="AN25" s="17"/>
      <c r="AO25" s="17"/>
      <c r="AP25" s="17"/>
      <c r="AQ25" s="17"/>
      <c r="AR25" s="17"/>
      <c r="AS25" s="17"/>
      <c r="AT25" s="17"/>
      <c r="AU25" s="17"/>
      <c r="AV25" s="17"/>
      <c r="AW25" s="17"/>
      <c r="AX25" s="17"/>
      <c r="AY25" s="17"/>
    </row>
    <row r="26" spans="1:51" x14ac:dyDescent="0.2">
      <c r="A26" s="17"/>
      <c r="B26" s="17"/>
      <c r="C26" s="17"/>
      <c r="D26" s="17"/>
      <c r="E26" s="17"/>
      <c r="F26" s="17"/>
      <c r="G26" s="17"/>
      <c r="H26" s="17"/>
      <c r="I26" s="17"/>
      <c r="J26" s="17"/>
      <c r="K26" s="17"/>
      <c r="L26" s="17"/>
      <c r="M26" s="17"/>
      <c r="N26" s="17"/>
      <c r="O26" s="27" t="s">
        <v>288</v>
      </c>
      <c r="P26" s="50"/>
      <c r="Q26" s="50"/>
      <c r="R26" s="50">
        <v>15</v>
      </c>
      <c r="S26" s="50">
        <v>9</v>
      </c>
      <c r="T26" s="50">
        <v>6</v>
      </c>
      <c r="U26" s="50"/>
      <c r="V26" s="50"/>
      <c r="W26" s="50"/>
      <c r="X26" s="50">
        <v>4</v>
      </c>
      <c r="Y26" s="50"/>
      <c r="Z26" s="50"/>
      <c r="AA26" s="50">
        <v>75</v>
      </c>
      <c r="AB26" s="50">
        <v>141</v>
      </c>
      <c r="AC26" s="50">
        <v>2.1</v>
      </c>
      <c r="AD26" s="50"/>
      <c r="AE26" s="50"/>
      <c r="AF26" s="50" t="s">
        <v>427</v>
      </c>
      <c r="AG26" s="50"/>
      <c r="AH26" s="50"/>
      <c r="AI26" s="17"/>
      <c r="AJ26" s="17"/>
      <c r="AK26" s="17"/>
      <c r="AL26" s="17"/>
      <c r="AM26" s="17"/>
      <c r="AN26" s="17"/>
      <c r="AO26" s="17"/>
      <c r="AP26" s="17"/>
      <c r="AQ26" s="17"/>
      <c r="AR26" s="17"/>
      <c r="AS26" s="17"/>
      <c r="AT26" s="17"/>
      <c r="AU26" s="17"/>
      <c r="AV26" s="17"/>
      <c r="AW26" s="17"/>
      <c r="AX26" s="17"/>
      <c r="AY26" s="17"/>
    </row>
    <row r="27" spans="1:51" ht="12.75" customHeight="1" x14ac:dyDescent="0.2">
      <c r="A27" s="171" t="s">
        <v>12</v>
      </c>
      <c r="B27" s="171"/>
      <c r="C27" s="171"/>
      <c r="D27" s="171"/>
      <c r="E27" s="171"/>
      <c r="F27" s="171"/>
      <c r="G27" s="171"/>
      <c r="H27" s="171"/>
      <c r="I27" s="171"/>
      <c r="J27" s="171"/>
      <c r="K27" s="171"/>
      <c r="L27" s="171"/>
      <c r="M27" s="171"/>
      <c r="N27" s="17"/>
      <c r="O27" s="29" t="s">
        <v>295</v>
      </c>
      <c r="P27" s="51"/>
      <c r="Q27" s="51"/>
      <c r="R27" s="51"/>
      <c r="S27" s="51"/>
      <c r="T27" s="51"/>
      <c r="U27" s="51">
        <v>28</v>
      </c>
      <c r="V27" s="51"/>
      <c r="W27" s="51"/>
      <c r="X27" s="51"/>
      <c r="Y27" s="51"/>
      <c r="Z27" s="51"/>
      <c r="AA27" s="51">
        <v>71</v>
      </c>
      <c r="AB27" s="51">
        <v>133</v>
      </c>
      <c r="AC27" s="51">
        <v>2.5</v>
      </c>
      <c r="AD27" s="51"/>
      <c r="AE27" s="51"/>
      <c r="AF27" s="51" t="s">
        <v>427</v>
      </c>
      <c r="AG27" s="51"/>
      <c r="AH27" s="51"/>
      <c r="AI27" s="17"/>
      <c r="AJ27" s="17"/>
      <c r="AK27" s="17"/>
      <c r="AL27" s="17"/>
      <c r="AM27" s="17"/>
      <c r="AN27" s="17"/>
      <c r="AO27" s="17"/>
      <c r="AP27" s="17"/>
      <c r="AQ27" s="17"/>
      <c r="AR27" s="17"/>
      <c r="AS27" s="17"/>
      <c r="AT27" s="17"/>
      <c r="AU27" s="17"/>
      <c r="AV27" s="17"/>
      <c r="AW27" s="17"/>
      <c r="AX27" s="17"/>
      <c r="AY27" s="17"/>
    </row>
    <row r="28" spans="1:51" ht="12.75" customHeight="1" x14ac:dyDescent="0.2">
      <c r="A28" s="172"/>
      <c r="B28" s="172"/>
      <c r="C28" s="172"/>
      <c r="D28" s="172"/>
      <c r="E28" s="172"/>
      <c r="F28" s="172"/>
      <c r="G28" s="172"/>
      <c r="H28" s="172"/>
      <c r="I28" s="172"/>
      <c r="J28" s="172"/>
      <c r="K28" s="172"/>
      <c r="L28" s="172"/>
      <c r="M28" s="172"/>
      <c r="N28" s="17"/>
      <c r="O28" s="27" t="s">
        <v>1144</v>
      </c>
      <c r="P28" s="50"/>
      <c r="Q28" s="50"/>
      <c r="R28" s="50">
        <v>12</v>
      </c>
      <c r="S28" s="50"/>
      <c r="T28" s="50"/>
      <c r="U28" s="50"/>
      <c r="V28" s="50"/>
      <c r="W28" s="50"/>
      <c r="X28" s="50"/>
      <c r="Y28" s="50"/>
      <c r="Z28" s="50">
        <v>2</v>
      </c>
      <c r="AA28" s="50">
        <v>71</v>
      </c>
      <c r="AB28" s="50">
        <v>134</v>
      </c>
      <c r="AC28" s="50">
        <v>2.4</v>
      </c>
      <c r="AD28" s="50"/>
      <c r="AE28" s="50"/>
      <c r="AF28" s="50" t="s">
        <v>427</v>
      </c>
      <c r="AG28" s="50"/>
      <c r="AH28" s="50"/>
      <c r="AI28" s="17"/>
      <c r="AJ28" s="17"/>
      <c r="AK28" s="17"/>
      <c r="AL28" s="17"/>
      <c r="AM28" s="17"/>
      <c r="AN28" s="17"/>
      <c r="AO28" s="17"/>
      <c r="AP28" s="17"/>
      <c r="AQ28" s="17"/>
      <c r="AR28" s="17"/>
      <c r="AS28" s="17"/>
      <c r="AT28" s="17"/>
      <c r="AU28" s="17"/>
      <c r="AV28" s="17"/>
      <c r="AW28" s="17"/>
      <c r="AX28" s="17"/>
      <c r="AY28" s="17"/>
    </row>
    <row r="29" spans="1:51" x14ac:dyDescent="0.2">
      <c r="A29" s="22" t="s">
        <v>0</v>
      </c>
      <c r="B29" s="22" t="s">
        <v>1</v>
      </c>
      <c r="C29" s="22" t="s">
        <v>2</v>
      </c>
      <c r="D29" s="22" t="s">
        <v>3</v>
      </c>
      <c r="E29" s="22" t="s">
        <v>4</v>
      </c>
      <c r="F29" s="22" t="s">
        <v>5</v>
      </c>
      <c r="G29" s="22" t="s">
        <v>6</v>
      </c>
      <c r="H29" s="22" t="s">
        <v>140</v>
      </c>
      <c r="I29" s="22" t="s">
        <v>156</v>
      </c>
      <c r="J29" s="22" t="s">
        <v>157</v>
      </c>
      <c r="K29" s="22" t="s">
        <v>7</v>
      </c>
      <c r="L29" s="22" t="s">
        <v>122</v>
      </c>
      <c r="M29" s="22" t="s">
        <v>1049</v>
      </c>
      <c r="N29" s="17"/>
      <c r="O29" s="27" t="s">
        <v>1143</v>
      </c>
      <c r="P29" s="50"/>
      <c r="Q29" s="50"/>
      <c r="R29" s="50">
        <v>8</v>
      </c>
      <c r="S29" s="50"/>
      <c r="T29" s="50">
        <v>8</v>
      </c>
      <c r="U29" s="50"/>
      <c r="V29" s="50"/>
      <c r="W29" s="50"/>
      <c r="X29" s="50"/>
      <c r="Y29" s="50"/>
      <c r="Z29" s="50">
        <v>2</v>
      </c>
      <c r="AA29" s="50">
        <v>71</v>
      </c>
      <c r="AB29" s="50">
        <v>134</v>
      </c>
      <c r="AC29" s="50">
        <v>2.4</v>
      </c>
      <c r="AD29" s="50"/>
      <c r="AE29" s="50"/>
      <c r="AF29" s="50" t="s">
        <v>427</v>
      </c>
      <c r="AG29" s="50"/>
      <c r="AH29" s="50"/>
      <c r="AI29" s="17"/>
      <c r="AJ29" s="17"/>
      <c r="AK29" s="17"/>
      <c r="AL29" s="17"/>
      <c r="AM29" s="17"/>
      <c r="AN29" s="17"/>
      <c r="AO29" s="17"/>
      <c r="AP29" s="17"/>
      <c r="AQ29" s="17"/>
      <c r="AR29" s="17"/>
      <c r="AS29" s="17"/>
      <c r="AT29" s="17"/>
      <c r="AU29" s="17"/>
      <c r="AV29" s="17"/>
      <c r="AW29" s="17"/>
      <c r="AX29" s="17"/>
      <c r="AY29" s="17"/>
    </row>
    <row r="30" spans="1:51" x14ac:dyDescent="0.2">
      <c r="A30" s="21" t="s">
        <v>393</v>
      </c>
      <c r="B30" s="19"/>
      <c r="C30" s="19"/>
      <c r="D30" s="19"/>
      <c r="E30" s="19"/>
      <c r="F30" s="19"/>
      <c r="G30" s="19"/>
      <c r="H30" s="19"/>
      <c r="I30" s="19"/>
      <c r="J30" s="19"/>
      <c r="K30" s="19"/>
      <c r="L30" s="19"/>
      <c r="M30" s="19"/>
      <c r="N30" s="17"/>
      <c r="O30" s="40" t="s">
        <v>1026</v>
      </c>
      <c r="P30" s="31"/>
      <c r="Q30" s="31"/>
      <c r="R30" s="31"/>
      <c r="S30" s="31"/>
      <c r="T30" s="31"/>
      <c r="U30" s="31"/>
      <c r="V30" s="31"/>
      <c r="W30" s="31"/>
      <c r="X30" s="31"/>
      <c r="Y30" s="31"/>
      <c r="Z30" s="31"/>
      <c r="AA30" s="31"/>
      <c r="AB30" s="31"/>
      <c r="AC30" s="31"/>
      <c r="AD30" s="31"/>
      <c r="AE30" s="31"/>
      <c r="AF30" s="31"/>
      <c r="AG30" s="31"/>
      <c r="AH30" s="32"/>
      <c r="AI30" s="17"/>
      <c r="AJ30" s="17"/>
      <c r="AK30" s="17"/>
      <c r="AL30" s="17"/>
      <c r="AM30" s="17"/>
      <c r="AN30" s="17"/>
      <c r="AO30" s="17"/>
      <c r="AP30" s="17"/>
      <c r="AQ30" s="17"/>
      <c r="AR30" s="17"/>
      <c r="AS30" s="17"/>
      <c r="AT30" s="17"/>
      <c r="AU30" s="17"/>
      <c r="AV30" s="17"/>
      <c r="AW30" s="17"/>
      <c r="AX30" s="17"/>
      <c r="AY30" s="17"/>
    </row>
    <row r="31" spans="1:51" x14ac:dyDescent="0.2">
      <c r="A31" s="21" t="s">
        <v>1050</v>
      </c>
      <c r="B31" s="19"/>
      <c r="C31" s="19"/>
      <c r="D31" s="19"/>
      <c r="E31" s="19"/>
      <c r="F31" s="19"/>
      <c r="G31" s="19"/>
      <c r="H31" s="19"/>
      <c r="I31" s="19"/>
      <c r="J31" s="19"/>
      <c r="K31" s="19"/>
      <c r="L31" s="19"/>
      <c r="M31" s="19"/>
      <c r="N31" s="17"/>
      <c r="O31" s="41" t="s">
        <v>298</v>
      </c>
      <c r="P31" s="34"/>
      <c r="Q31" s="34"/>
      <c r="R31" s="34"/>
      <c r="S31" s="34"/>
      <c r="T31" s="34"/>
      <c r="U31" s="34"/>
      <c r="V31" s="34"/>
      <c r="W31" s="34"/>
      <c r="X31" s="34"/>
      <c r="Y31" s="34"/>
      <c r="Z31" s="34"/>
      <c r="AA31" s="34"/>
      <c r="AB31" s="34"/>
      <c r="AC31" s="34"/>
      <c r="AD31" s="34"/>
      <c r="AE31" s="34"/>
      <c r="AF31" s="34"/>
      <c r="AG31" s="34"/>
      <c r="AH31" s="35"/>
      <c r="AI31" s="17"/>
      <c r="AJ31" s="17"/>
      <c r="AK31" s="17"/>
      <c r="AL31" s="17"/>
      <c r="AM31" s="17"/>
      <c r="AN31" s="17"/>
      <c r="AO31" s="17"/>
      <c r="AP31" s="17"/>
      <c r="AQ31" s="17"/>
      <c r="AR31" s="17"/>
      <c r="AS31" s="17"/>
      <c r="AT31" s="17"/>
      <c r="AU31" s="17"/>
      <c r="AV31" s="17"/>
      <c r="AW31" s="17"/>
      <c r="AX31" s="17"/>
      <c r="AY31" s="17"/>
    </row>
    <row r="32" spans="1:51" x14ac:dyDescent="0.2">
      <c r="A32" s="21" t="s">
        <v>179</v>
      </c>
      <c r="B32" s="20"/>
      <c r="C32" s="20"/>
      <c r="D32" s="20">
        <f>IF(Patch&lt;7,0,10)</f>
        <v>10</v>
      </c>
      <c r="E32" s="20">
        <f>IF(Patch&lt;7,7,10)</f>
        <v>10</v>
      </c>
      <c r="F32" s="20">
        <f>IF(Patch&lt;7,18,19)</f>
        <v>19</v>
      </c>
      <c r="G32" s="20"/>
      <c r="H32" s="20"/>
      <c r="I32" s="20"/>
      <c r="J32" s="20"/>
      <c r="K32" s="20"/>
      <c r="L32" s="20"/>
      <c r="M32" s="20"/>
      <c r="N32" s="17"/>
      <c r="O32" s="42" t="s">
        <v>1026</v>
      </c>
      <c r="P32" s="37"/>
      <c r="Q32" s="37"/>
      <c r="R32" s="37"/>
      <c r="S32" s="37"/>
      <c r="T32" s="37"/>
      <c r="U32" s="37"/>
      <c r="V32" s="37"/>
      <c r="W32" s="37"/>
      <c r="X32" s="37"/>
      <c r="Y32" s="37"/>
      <c r="Z32" s="37"/>
      <c r="AA32" s="37"/>
      <c r="AB32" s="37"/>
      <c r="AC32" s="37"/>
      <c r="AD32" s="37"/>
      <c r="AE32" s="37"/>
      <c r="AF32" s="37"/>
      <c r="AG32" s="37"/>
      <c r="AH32" s="38"/>
      <c r="AI32" s="17"/>
      <c r="AJ32" s="17"/>
      <c r="AK32" s="17"/>
      <c r="AL32" s="17"/>
      <c r="AM32" s="17"/>
      <c r="AN32" s="17"/>
      <c r="AO32" s="17"/>
      <c r="AP32" s="17"/>
      <c r="AQ32" s="17"/>
      <c r="AR32" s="17"/>
      <c r="AS32" s="17"/>
      <c r="AT32" s="17"/>
      <c r="AU32" s="17"/>
      <c r="AV32" s="17"/>
      <c r="AW32" s="17"/>
      <c r="AX32" s="17"/>
      <c r="AY32" s="17"/>
    </row>
    <row r="33" spans="1:51" x14ac:dyDescent="0.2">
      <c r="A33" s="21" t="s">
        <v>13</v>
      </c>
      <c r="B33" s="20">
        <v>1</v>
      </c>
      <c r="C33" s="20"/>
      <c r="D33" s="20"/>
      <c r="E33" s="20">
        <v>10</v>
      </c>
      <c r="F33" s="20"/>
      <c r="G33" s="20">
        <v>44</v>
      </c>
      <c r="H33" s="20"/>
      <c r="I33" s="20"/>
      <c r="J33" s="20"/>
      <c r="K33" s="20"/>
      <c r="L33" s="20"/>
      <c r="M33" s="20"/>
      <c r="N33" s="17"/>
      <c r="O33" s="28" t="s">
        <v>314</v>
      </c>
      <c r="P33" s="52"/>
      <c r="Q33" s="52"/>
      <c r="R33" s="52"/>
      <c r="S33" s="52"/>
      <c r="T33" s="52"/>
      <c r="U33" s="52"/>
      <c r="V33" s="52"/>
      <c r="W33" s="52"/>
      <c r="X33" s="52"/>
      <c r="Y33" s="52"/>
      <c r="Z33" s="52"/>
      <c r="AA33" s="52">
        <v>41</v>
      </c>
      <c r="AB33" s="52">
        <v>77</v>
      </c>
      <c r="AC33" s="52">
        <v>1.3</v>
      </c>
      <c r="AD33" s="52">
        <f ca="1">90*VLOOKUP(O33,ProcChance,4,FALSE)*0.8*(WhiteMHConnects+YellowConnects+WindfuryConnects+HoJConnects)*IF(Spell_Crit&gt;0,1+1.5*Spell_Crit/100,1)</f>
        <v>1.5959846031212481</v>
      </c>
      <c r="AE33" s="52">
        <f ca="1">90*VLOOKUP(O33,ProcChance,4,FALSE)*0.8*WhiteOHConnects*IF(Spell_Crit&gt;0,1+1.5*Spell_Crit/100,1)</f>
        <v>0.87701114497436583</v>
      </c>
      <c r="AF33" s="52" t="s">
        <v>558</v>
      </c>
      <c r="AG33" s="52">
        <f ca="1">90*VLOOKUP(O33,ProcChance,4,FALSE)*0.8*(WhiteMHConnects20+YellowConnects20+WindfuryConnects20+HoJConnects20)*IF(Spell_Crit&gt;0,1+1.5*Spell_Crit/100,1)</f>
        <v>2.0804441382472332</v>
      </c>
      <c r="AH33" s="52">
        <f ca="1">90*VLOOKUP(O33,ProcChance,4,FALSE)*0.8*WhiteOHConnects20*IF(Spell_Crit&gt;0,1+1.5*Spell_Crit/100,1)</f>
        <v>0.88838746731593765</v>
      </c>
      <c r="AI33" s="17"/>
      <c r="AJ33" s="17"/>
      <c r="AK33" s="17"/>
      <c r="AL33" s="17"/>
      <c r="AM33" s="17"/>
      <c r="AN33" s="17"/>
      <c r="AO33" s="17"/>
      <c r="AP33" s="17"/>
      <c r="AQ33" s="17"/>
      <c r="AR33" s="17"/>
      <c r="AS33" s="17"/>
      <c r="AT33" s="17"/>
      <c r="AU33" s="17"/>
      <c r="AV33" s="17"/>
      <c r="AW33" s="17"/>
      <c r="AX33" s="17"/>
      <c r="AY33" s="17"/>
    </row>
    <row r="34" spans="1:51" x14ac:dyDescent="0.2">
      <c r="A34" s="21" t="s">
        <v>180</v>
      </c>
      <c r="B34" s="20"/>
      <c r="C34" s="20">
        <v>1</v>
      </c>
      <c r="D34" s="20"/>
      <c r="E34" s="20">
        <v>7</v>
      </c>
      <c r="F34" s="20"/>
      <c r="G34" s="20">
        <v>24</v>
      </c>
      <c r="H34" s="20"/>
      <c r="I34" s="20"/>
      <c r="J34" s="20"/>
      <c r="K34" s="20"/>
      <c r="L34" s="20"/>
      <c r="M34" s="20"/>
      <c r="N34" s="17"/>
      <c r="O34" s="27" t="s">
        <v>306</v>
      </c>
      <c r="P34" s="50"/>
      <c r="Q34" s="50"/>
      <c r="R34" s="50"/>
      <c r="S34" s="50"/>
      <c r="T34" s="50"/>
      <c r="U34" s="50"/>
      <c r="V34" s="50"/>
      <c r="W34" s="50"/>
      <c r="X34" s="50"/>
      <c r="Y34" s="50"/>
      <c r="Z34" s="50"/>
      <c r="AA34" s="50">
        <v>53</v>
      </c>
      <c r="AB34" s="50">
        <v>100</v>
      </c>
      <c r="AC34" s="50">
        <v>1.6</v>
      </c>
      <c r="AD34" s="50"/>
      <c r="AE34" s="50"/>
      <c r="AF34" s="50" t="s">
        <v>558</v>
      </c>
      <c r="AG34" s="50"/>
      <c r="AH34" s="50"/>
      <c r="AI34" s="17"/>
      <c r="AJ34" s="17"/>
      <c r="AK34" s="17"/>
      <c r="AL34" s="17"/>
      <c r="AM34" s="17"/>
      <c r="AN34" s="17"/>
      <c r="AO34" s="17"/>
      <c r="AP34" s="17"/>
      <c r="AQ34" s="17"/>
      <c r="AR34" s="17"/>
      <c r="AS34" s="17"/>
      <c r="AT34" s="17"/>
      <c r="AU34" s="17"/>
      <c r="AV34" s="17"/>
      <c r="AW34" s="17"/>
      <c r="AX34" s="17"/>
      <c r="AY34" s="17"/>
    </row>
    <row r="35" spans="1:51" x14ac:dyDescent="0.2">
      <c r="A35" s="21" t="s">
        <v>692</v>
      </c>
      <c r="B35" s="20"/>
      <c r="C35" s="20"/>
      <c r="D35" s="20"/>
      <c r="E35" s="20">
        <v>13</v>
      </c>
      <c r="F35" s="20">
        <v>14</v>
      </c>
      <c r="G35" s="20"/>
      <c r="H35" s="20"/>
      <c r="I35" s="20"/>
      <c r="J35" s="20"/>
      <c r="K35" s="20"/>
      <c r="L35" s="20"/>
      <c r="M35" s="20"/>
      <c r="N35" s="17"/>
      <c r="O35" s="27" t="s">
        <v>94</v>
      </c>
      <c r="P35" s="50">
        <v>1</v>
      </c>
      <c r="Q35" s="50">
        <v>1</v>
      </c>
      <c r="R35" s="50"/>
      <c r="S35" s="50">
        <v>7</v>
      </c>
      <c r="T35" s="50"/>
      <c r="U35" s="50">
        <v>18</v>
      </c>
      <c r="V35" s="50"/>
      <c r="W35" s="50"/>
      <c r="X35" s="50"/>
      <c r="Y35" s="50"/>
      <c r="Z35" s="50"/>
      <c r="AA35" s="50">
        <v>72</v>
      </c>
      <c r="AB35" s="50">
        <v>134</v>
      </c>
      <c r="AC35" s="50">
        <v>1.7</v>
      </c>
      <c r="AD35" s="50"/>
      <c r="AE35" s="50"/>
      <c r="AF35" s="50" t="s">
        <v>558</v>
      </c>
      <c r="AG35" s="50"/>
      <c r="AH35" s="50"/>
      <c r="AI35" s="17"/>
      <c r="AJ35" s="17"/>
      <c r="AK35" s="17"/>
      <c r="AL35" s="17"/>
      <c r="AM35" s="17"/>
      <c r="AN35" s="17"/>
      <c r="AO35" s="17"/>
      <c r="AP35" s="17"/>
      <c r="AQ35" s="17"/>
      <c r="AR35" s="17"/>
      <c r="AS35" s="17"/>
      <c r="AT35" s="17"/>
      <c r="AU35" s="17"/>
      <c r="AV35" s="17"/>
      <c r="AW35" s="17"/>
      <c r="AX35" s="17"/>
      <c r="AY35" s="17"/>
    </row>
    <row r="36" spans="1:51" x14ac:dyDescent="0.2">
      <c r="A36" s="21" t="s">
        <v>177</v>
      </c>
      <c r="B36" s="20"/>
      <c r="C36" s="20"/>
      <c r="D36" s="20"/>
      <c r="E36" s="20">
        <v>16</v>
      </c>
      <c r="F36" s="20"/>
      <c r="G36" s="20">
        <v>42</v>
      </c>
      <c r="H36" s="20"/>
      <c r="I36" s="20"/>
      <c r="J36" s="20"/>
      <c r="K36" s="20"/>
      <c r="L36" s="20"/>
      <c r="M36" s="20"/>
      <c r="N36" s="17"/>
      <c r="O36" s="27" t="s">
        <v>317</v>
      </c>
      <c r="P36" s="50"/>
      <c r="Q36" s="50"/>
      <c r="R36" s="50"/>
      <c r="S36" s="50"/>
      <c r="T36" s="50"/>
      <c r="U36" s="50">
        <v>30</v>
      </c>
      <c r="V36" s="50"/>
      <c r="W36" s="50"/>
      <c r="X36" s="50"/>
      <c r="Y36" s="50"/>
      <c r="Z36" s="50"/>
      <c r="AA36" s="50">
        <v>40</v>
      </c>
      <c r="AB36" s="50">
        <v>74</v>
      </c>
      <c r="AC36" s="50">
        <v>1.4</v>
      </c>
      <c r="AD36" s="50"/>
      <c r="AE36" s="50"/>
      <c r="AF36" s="50" t="s">
        <v>558</v>
      </c>
      <c r="AG36" s="50"/>
      <c r="AH36" s="50"/>
      <c r="AI36" s="17"/>
      <c r="AJ36" s="17"/>
      <c r="AK36" s="17"/>
      <c r="AL36" s="17"/>
      <c r="AM36" s="17"/>
      <c r="AN36" s="17"/>
      <c r="AO36" s="17"/>
      <c r="AP36" s="17"/>
      <c r="AQ36" s="17"/>
      <c r="AR36" s="17"/>
      <c r="AS36" s="17"/>
      <c r="AT36" s="17"/>
      <c r="AU36" s="17"/>
      <c r="AV36" s="17"/>
      <c r="AW36" s="17"/>
      <c r="AX36" s="17"/>
      <c r="AY36" s="17"/>
    </row>
    <row r="37" spans="1:51" x14ac:dyDescent="0.2">
      <c r="A37" s="21" t="s">
        <v>175</v>
      </c>
      <c r="B37" s="20">
        <v>1</v>
      </c>
      <c r="C37" s="20"/>
      <c r="D37" s="20"/>
      <c r="E37" s="20">
        <v>17</v>
      </c>
      <c r="F37" s="20"/>
      <c r="G37" s="20"/>
      <c r="H37" s="20">
        <v>1</v>
      </c>
      <c r="I37" s="20"/>
      <c r="J37" s="20"/>
      <c r="K37" s="20"/>
      <c r="L37" s="20"/>
      <c r="M37" s="20"/>
      <c r="N37" s="17"/>
      <c r="O37" s="27" t="s">
        <v>302</v>
      </c>
      <c r="P37" s="50">
        <v>1</v>
      </c>
      <c r="Q37" s="50"/>
      <c r="R37" s="50"/>
      <c r="S37" s="50">
        <v>9</v>
      </c>
      <c r="T37" s="50"/>
      <c r="U37" s="50">
        <v>20</v>
      </c>
      <c r="V37" s="50"/>
      <c r="W37" s="50"/>
      <c r="X37" s="50"/>
      <c r="Y37" s="50"/>
      <c r="Z37" s="50"/>
      <c r="AA37" s="50">
        <v>57</v>
      </c>
      <c r="AB37" s="50">
        <v>107</v>
      </c>
      <c r="AC37" s="50">
        <v>1.6</v>
      </c>
      <c r="AD37" s="50"/>
      <c r="AE37" s="50"/>
      <c r="AF37" s="50" t="s">
        <v>558</v>
      </c>
      <c r="AG37" s="50"/>
      <c r="AH37" s="50"/>
      <c r="AI37" s="17"/>
      <c r="AJ37" s="17"/>
      <c r="AK37" s="17"/>
      <c r="AL37" s="17"/>
      <c r="AM37" s="17"/>
      <c r="AN37" s="17"/>
      <c r="AO37" s="17"/>
      <c r="AP37" s="17"/>
      <c r="AQ37" s="17"/>
      <c r="AR37" s="17"/>
      <c r="AS37" s="17"/>
      <c r="AT37" s="17"/>
      <c r="AU37" s="17"/>
      <c r="AV37" s="17"/>
      <c r="AW37" s="17"/>
      <c r="AX37" s="17"/>
      <c r="AY37" s="17"/>
    </row>
    <row r="38" spans="1:51" x14ac:dyDescent="0.2">
      <c r="A38" s="21" t="s">
        <v>176</v>
      </c>
      <c r="B38" s="20">
        <v>1</v>
      </c>
      <c r="C38" s="20">
        <v>1</v>
      </c>
      <c r="D38" s="20">
        <v>8</v>
      </c>
      <c r="E38" s="20"/>
      <c r="F38" s="20"/>
      <c r="G38" s="20"/>
      <c r="H38" s="20"/>
      <c r="I38" s="20"/>
      <c r="J38" s="20"/>
      <c r="K38" s="20"/>
      <c r="L38" s="20"/>
      <c r="M38" s="20"/>
      <c r="N38" s="17"/>
      <c r="O38" s="27" t="s">
        <v>303</v>
      </c>
      <c r="P38" s="50"/>
      <c r="Q38" s="50">
        <v>1</v>
      </c>
      <c r="R38" s="50">
        <v>7</v>
      </c>
      <c r="S38" s="50">
        <v>15</v>
      </c>
      <c r="T38" s="50"/>
      <c r="U38" s="50"/>
      <c r="V38" s="50"/>
      <c r="W38" s="50"/>
      <c r="X38" s="50"/>
      <c r="Y38" s="50"/>
      <c r="Z38" s="50"/>
      <c r="AA38" s="50">
        <v>65</v>
      </c>
      <c r="AB38" s="50">
        <v>121</v>
      </c>
      <c r="AC38" s="50">
        <v>1.8</v>
      </c>
      <c r="AD38" s="50"/>
      <c r="AE38" s="50"/>
      <c r="AF38" s="50" t="s">
        <v>558</v>
      </c>
      <c r="AG38" s="50"/>
      <c r="AH38" s="50"/>
      <c r="AI38" s="17"/>
      <c r="AJ38" s="17"/>
      <c r="AK38" s="17"/>
      <c r="AL38" s="17"/>
      <c r="AM38" s="17"/>
      <c r="AN38" s="17"/>
      <c r="AO38" s="17"/>
      <c r="AP38" s="17"/>
      <c r="AQ38" s="17"/>
      <c r="AR38" s="17"/>
      <c r="AS38" s="17"/>
      <c r="AT38" s="17"/>
      <c r="AU38" s="17"/>
      <c r="AV38" s="17"/>
      <c r="AW38" s="17"/>
      <c r="AX38" s="17"/>
      <c r="AY38" s="17"/>
    </row>
    <row r="39" spans="1:51" x14ac:dyDescent="0.2">
      <c r="A39" s="21" t="s">
        <v>717</v>
      </c>
      <c r="B39" s="20"/>
      <c r="C39" s="20"/>
      <c r="D39" s="20"/>
      <c r="E39" s="20">
        <v>7</v>
      </c>
      <c r="F39" s="20"/>
      <c r="G39" s="20">
        <v>32</v>
      </c>
      <c r="H39" s="20"/>
      <c r="I39" s="20"/>
      <c r="J39" s="20"/>
      <c r="K39" s="20"/>
      <c r="L39" s="20"/>
      <c r="M39" s="20"/>
      <c r="N39" s="17"/>
      <c r="O39" s="27" t="s">
        <v>312</v>
      </c>
      <c r="P39" s="50"/>
      <c r="Q39" s="50"/>
      <c r="R39" s="50"/>
      <c r="S39" s="50"/>
      <c r="T39" s="50"/>
      <c r="U39" s="50"/>
      <c r="V39" s="50"/>
      <c r="W39" s="50"/>
      <c r="X39" s="50"/>
      <c r="Y39" s="50"/>
      <c r="Z39" s="50"/>
      <c r="AA39" s="50">
        <v>43</v>
      </c>
      <c r="AB39" s="50">
        <v>81</v>
      </c>
      <c r="AC39" s="50">
        <v>1.5</v>
      </c>
      <c r="AD39" s="50">
        <f ca="1">90*VLOOKUP(O39,ProcChance,4,FALSE)*0.8*(WhiteMHConnects+YellowConnects+WindfuryConnects+HoJConnects)*IF(Spell_Crit&gt;0,1+1.5*Spell_Crit/100,1)</f>
        <v>3.6830413918182643</v>
      </c>
      <c r="AE39" s="50">
        <f ca="1">90*VLOOKUP(O39,ProcChance,4,FALSE)*0.8*WhiteOHConnects*IF(Spell_Crit&gt;0,1+1.5*Spell_Crit/100,1)</f>
        <v>2.0238718730177672</v>
      </c>
      <c r="AF39" s="50" t="s">
        <v>558</v>
      </c>
      <c r="AG39" s="50">
        <f ca="1">90*VLOOKUP(O39,ProcChance,4,FALSE)*0.8*(WhiteMHConnects20+YellowConnects20+WindfuryConnects20+HoJConnects20)*IF(Spell_Crit&gt;0,1+1.5*Spell_Crit/100,1)</f>
        <v>4.8010249344166915</v>
      </c>
      <c r="AH39" s="50">
        <f ca="1">90*VLOOKUP(O39,ProcChance,4,FALSE)*0.8*WhiteOHConnects20*IF(Spell_Crit&gt;0,1+1.5*Spell_Crit/100,1)</f>
        <v>2.0501249245752402</v>
      </c>
      <c r="AI39" s="17"/>
      <c r="AJ39" s="17"/>
      <c r="AK39" s="17"/>
      <c r="AL39" s="17"/>
      <c r="AM39" s="17"/>
      <c r="AN39" s="17"/>
      <c r="AO39" s="17"/>
      <c r="AP39" s="17"/>
      <c r="AQ39" s="17"/>
      <c r="AR39" s="17"/>
      <c r="AS39" s="17"/>
      <c r="AT39" s="17"/>
      <c r="AU39" s="17"/>
      <c r="AV39" s="17"/>
      <c r="AW39" s="17"/>
      <c r="AX39" s="17"/>
      <c r="AY39" s="17"/>
    </row>
    <row r="40" spans="1:51" x14ac:dyDescent="0.2">
      <c r="A40" s="21" t="s">
        <v>718</v>
      </c>
      <c r="B40" s="20">
        <v>1</v>
      </c>
      <c r="C40" s="20"/>
      <c r="D40" s="20"/>
      <c r="E40" s="20"/>
      <c r="F40" s="20"/>
      <c r="G40" s="20">
        <v>26</v>
      </c>
      <c r="H40" s="20"/>
      <c r="I40" s="20"/>
      <c r="J40" s="20"/>
      <c r="K40" s="20"/>
      <c r="L40" s="20"/>
      <c r="M40" s="20"/>
      <c r="N40" s="17"/>
      <c r="O40" s="27" t="s">
        <v>34</v>
      </c>
      <c r="P40" s="50"/>
      <c r="Q40" s="50"/>
      <c r="R40" s="50"/>
      <c r="S40" s="50">
        <v>10</v>
      </c>
      <c r="T40" s="50"/>
      <c r="U40" s="50">
        <v>38</v>
      </c>
      <c r="V40" s="50"/>
      <c r="W40" s="50"/>
      <c r="X40" s="50"/>
      <c r="Y40" s="50"/>
      <c r="Z40" s="50">
        <v>3</v>
      </c>
      <c r="AA40" s="50">
        <v>95</v>
      </c>
      <c r="AB40" s="50">
        <v>144</v>
      </c>
      <c r="AC40" s="50">
        <v>1.8</v>
      </c>
      <c r="AD40" s="50"/>
      <c r="AE40" s="50"/>
      <c r="AF40" s="50" t="s">
        <v>558</v>
      </c>
      <c r="AG40" s="50"/>
      <c r="AH40" s="50"/>
      <c r="AI40" s="17"/>
      <c r="AJ40" s="17"/>
      <c r="AK40" s="17"/>
      <c r="AL40" s="17"/>
      <c r="AM40" s="17"/>
      <c r="AN40" s="17"/>
      <c r="AO40" s="17"/>
      <c r="AP40" s="17"/>
      <c r="AQ40" s="17"/>
      <c r="AR40" s="17"/>
      <c r="AS40" s="17"/>
      <c r="AT40" s="17"/>
      <c r="AU40" s="17"/>
      <c r="AV40" s="17"/>
      <c r="AW40" s="17"/>
      <c r="AX40" s="17"/>
      <c r="AY40" s="17"/>
    </row>
    <row r="41" spans="1:51" x14ac:dyDescent="0.2">
      <c r="A41" s="21" t="s">
        <v>174</v>
      </c>
      <c r="B41" s="20">
        <v>1</v>
      </c>
      <c r="C41" s="20">
        <v>1</v>
      </c>
      <c r="D41" s="20"/>
      <c r="E41" s="20">
        <v>9</v>
      </c>
      <c r="F41" s="20">
        <v>12</v>
      </c>
      <c r="G41" s="20"/>
      <c r="H41" s="20"/>
      <c r="I41" s="20"/>
      <c r="J41" s="20"/>
      <c r="K41" s="20"/>
      <c r="L41" s="20"/>
      <c r="M41" s="20"/>
      <c r="N41" s="17"/>
      <c r="O41" s="27" t="s">
        <v>316</v>
      </c>
      <c r="P41" s="50"/>
      <c r="Q41" s="50"/>
      <c r="R41" s="50"/>
      <c r="S41" s="50"/>
      <c r="T41" s="50"/>
      <c r="U41" s="50"/>
      <c r="V41" s="50"/>
      <c r="W41" s="50"/>
      <c r="X41" s="50"/>
      <c r="Y41" s="50"/>
      <c r="Z41" s="50">
        <v>6</v>
      </c>
      <c r="AA41" s="50">
        <v>42</v>
      </c>
      <c r="AB41" s="50">
        <v>64</v>
      </c>
      <c r="AC41" s="50">
        <v>1.3</v>
      </c>
      <c r="AD41" s="50"/>
      <c r="AE41" s="50"/>
      <c r="AF41" s="50" t="s">
        <v>558</v>
      </c>
      <c r="AG41" s="50"/>
      <c r="AH41" s="50"/>
      <c r="AI41" s="17"/>
      <c r="AJ41" s="17"/>
      <c r="AK41" s="17"/>
      <c r="AL41" s="17"/>
      <c r="AM41" s="17"/>
      <c r="AN41" s="17"/>
      <c r="AO41" s="17"/>
      <c r="AP41" s="17"/>
      <c r="AQ41" s="17"/>
      <c r="AR41" s="17"/>
      <c r="AS41" s="17"/>
      <c r="AT41" s="17"/>
      <c r="AU41" s="17"/>
      <c r="AV41" s="17"/>
      <c r="AW41" s="17"/>
      <c r="AX41" s="17"/>
      <c r="AY41" s="17"/>
    </row>
    <row r="42" spans="1:51" x14ac:dyDescent="0.2">
      <c r="A42" s="21" t="s">
        <v>719</v>
      </c>
      <c r="B42" s="20"/>
      <c r="C42" s="20">
        <v>1</v>
      </c>
      <c r="D42" s="20"/>
      <c r="E42" s="20"/>
      <c r="F42" s="20">
        <v>15</v>
      </c>
      <c r="G42" s="20"/>
      <c r="H42" s="20"/>
      <c r="I42" s="20"/>
      <c r="J42" s="20"/>
      <c r="K42" s="20"/>
      <c r="L42" s="20"/>
      <c r="M42" s="20"/>
      <c r="N42" s="17"/>
      <c r="O42" s="27" t="s">
        <v>301</v>
      </c>
      <c r="P42" s="50"/>
      <c r="Q42" s="50"/>
      <c r="R42" s="50"/>
      <c r="S42" s="50">
        <v>13</v>
      </c>
      <c r="T42" s="50">
        <v>16</v>
      </c>
      <c r="U42" s="50"/>
      <c r="V42" s="50"/>
      <c r="W42" s="50"/>
      <c r="X42" s="50"/>
      <c r="Y42" s="50"/>
      <c r="Z42" s="50"/>
      <c r="AA42" s="50">
        <v>69</v>
      </c>
      <c r="AB42" s="50">
        <v>130</v>
      </c>
      <c r="AC42" s="50">
        <v>1.8</v>
      </c>
      <c r="AD42" s="50"/>
      <c r="AE42" s="50"/>
      <c r="AF42" s="50" t="s">
        <v>558</v>
      </c>
      <c r="AG42" s="50"/>
      <c r="AH42" s="50"/>
      <c r="AI42" s="17"/>
      <c r="AJ42" s="17"/>
      <c r="AK42" s="17"/>
      <c r="AL42" s="17"/>
      <c r="AM42" s="17"/>
      <c r="AN42" s="17"/>
      <c r="AO42" s="17"/>
      <c r="AP42" s="17"/>
      <c r="AQ42" s="17"/>
      <c r="AR42" s="17"/>
      <c r="AS42" s="17"/>
      <c r="AT42" s="17"/>
      <c r="AU42" s="17"/>
      <c r="AV42" s="17"/>
      <c r="AW42" s="17"/>
      <c r="AX42" s="17"/>
      <c r="AY42" s="17"/>
    </row>
    <row r="43" spans="1:51" x14ac:dyDescent="0.2">
      <c r="A43" s="21" t="s">
        <v>173</v>
      </c>
      <c r="B43" s="20"/>
      <c r="C43" s="20">
        <v>1</v>
      </c>
      <c r="D43" s="20"/>
      <c r="E43" s="20"/>
      <c r="F43" s="20">
        <v>30</v>
      </c>
      <c r="G43" s="20"/>
      <c r="H43" s="20"/>
      <c r="I43" s="20"/>
      <c r="J43" s="20"/>
      <c r="K43" s="20"/>
      <c r="L43" s="20"/>
      <c r="M43" s="20"/>
      <c r="N43" s="17"/>
      <c r="O43" s="26" t="s">
        <v>976</v>
      </c>
      <c r="P43" s="50"/>
      <c r="Q43" s="50"/>
      <c r="R43" s="50"/>
      <c r="S43" s="50"/>
      <c r="T43" s="50">
        <v>12</v>
      </c>
      <c r="U43" s="50"/>
      <c r="V43" s="50"/>
      <c r="W43" s="50"/>
      <c r="X43" s="50"/>
      <c r="Y43" s="50"/>
      <c r="Z43" s="50"/>
      <c r="AA43" s="50">
        <v>66</v>
      </c>
      <c r="AB43" s="50">
        <v>123</v>
      </c>
      <c r="AC43" s="50">
        <v>1.8</v>
      </c>
      <c r="AD43" s="50">
        <f ca="1">96*VLOOKUP(O43,ProcChance,4,FALSE)*0.8*(WhiteMHConnects+YellowConnects+WindfuryConnects+HoJConnects)*IF(Spell_Crit&gt;0,1+1.5*Spell_Crit/100,1)</f>
        <v>2.3571464907636894</v>
      </c>
      <c r="AE43" s="50">
        <f ca="1">96*VLOOKUP(O43,ProcChance,4,FALSE)*0.8*WhiteOHConnects*IF(Spell_Crit&gt;0,1+1.5*Spell_Crit/100,1)</f>
        <v>1.2952779987313709</v>
      </c>
      <c r="AF43" s="50" t="s">
        <v>558</v>
      </c>
      <c r="AG43" s="50">
        <f ca="1">96*VLOOKUP(O43,ProcChance,4,FALSE)*0.8*(WhiteMHConnects20+YellowConnects20+WindfuryConnects20+HoJConnects20)*IF(Spell_Crit&gt;0,1+1.5*Spell_Crit/100,1)</f>
        <v>3.0726559580266826</v>
      </c>
      <c r="AH43" s="50">
        <f ca="1">96*VLOOKUP(O43,ProcChance,4,FALSE)*0.8*WhiteOHConnects20*IF(Spell_Crit&gt;0,1+1.5*Spell_Crit/100,1)</f>
        <v>1.3120799517281538</v>
      </c>
      <c r="AI43" s="17"/>
      <c r="AJ43" s="17"/>
      <c r="AK43" s="17"/>
      <c r="AL43" s="17"/>
      <c r="AM43" s="17"/>
      <c r="AN43" s="17"/>
      <c r="AO43" s="17"/>
      <c r="AP43" s="17"/>
      <c r="AQ43" s="17"/>
      <c r="AR43" s="17"/>
      <c r="AS43" s="17"/>
      <c r="AT43" s="17"/>
      <c r="AU43" s="17"/>
      <c r="AV43" s="17"/>
      <c r="AW43" s="17"/>
      <c r="AX43" s="17"/>
      <c r="AY43" s="17"/>
    </row>
    <row r="44" spans="1:51" x14ac:dyDescent="0.2">
      <c r="A44" s="21" t="s">
        <v>402</v>
      </c>
      <c r="B44" s="20">
        <v>1</v>
      </c>
      <c r="C44" s="20"/>
      <c r="D44" s="20"/>
      <c r="E44" s="20">
        <v>24</v>
      </c>
      <c r="F44" s="20"/>
      <c r="G44" s="20">
        <v>20</v>
      </c>
      <c r="H44" s="20"/>
      <c r="I44" s="20"/>
      <c r="J44" s="20"/>
      <c r="K44" s="20"/>
      <c r="L44" s="20"/>
      <c r="M44" s="20"/>
      <c r="N44" s="17"/>
      <c r="O44" s="27" t="s">
        <v>305</v>
      </c>
      <c r="P44" s="50">
        <v>1</v>
      </c>
      <c r="Q44" s="50"/>
      <c r="R44" s="50"/>
      <c r="S44" s="50"/>
      <c r="T44" s="50"/>
      <c r="U44" s="50">
        <v>28</v>
      </c>
      <c r="V44" s="50"/>
      <c r="W44" s="50"/>
      <c r="X44" s="50"/>
      <c r="Y44" s="50"/>
      <c r="Z44" s="50"/>
      <c r="AA44" s="50">
        <v>66</v>
      </c>
      <c r="AB44" s="50">
        <v>123</v>
      </c>
      <c r="AC44" s="50">
        <v>1.9</v>
      </c>
      <c r="AD44" s="50"/>
      <c r="AE44" s="50"/>
      <c r="AF44" s="50" t="s">
        <v>558</v>
      </c>
      <c r="AG44" s="50"/>
      <c r="AH44" s="50"/>
      <c r="AI44" s="17"/>
      <c r="AJ44" s="17"/>
      <c r="AK44" s="17"/>
      <c r="AL44" s="17"/>
      <c r="AM44" s="17"/>
      <c r="AN44" s="17"/>
      <c r="AO44" s="17"/>
      <c r="AP44" s="17"/>
      <c r="AQ44" s="17"/>
      <c r="AR44" s="17"/>
      <c r="AS44" s="17"/>
      <c r="AT44" s="17"/>
      <c r="AU44" s="17"/>
      <c r="AV44" s="17"/>
      <c r="AW44" s="17"/>
      <c r="AX44" s="17"/>
      <c r="AY44" s="17"/>
    </row>
    <row r="45" spans="1:51" x14ac:dyDescent="0.2">
      <c r="A45" s="21" t="s">
        <v>1188</v>
      </c>
      <c r="B45" s="20">
        <v>2</v>
      </c>
      <c r="C45" s="20"/>
      <c r="D45" s="20"/>
      <c r="E45" s="20">
        <v>12</v>
      </c>
      <c r="F45" s="20"/>
      <c r="G45" s="20">
        <v>26</v>
      </c>
      <c r="H45" s="20"/>
      <c r="I45" s="20"/>
      <c r="J45" s="20"/>
      <c r="K45" s="20"/>
      <c r="L45" s="20"/>
      <c r="M45" s="20"/>
      <c r="N45" s="17"/>
      <c r="O45" s="27" t="s">
        <v>311</v>
      </c>
      <c r="P45" s="50"/>
      <c r="Q45" s="50"/>
      <c r="R45" s="50"/>
      <c r="S45" s="50"/>
      <c r="T45" s="50"/>
      <c r="U45" s="50"/>
      <c r="V45" s="50"/>
      <c r="W45" s="50"/>
      <c r="X45" s="50"/>
      <c r="Y45" s="50"/>
      <c r="Z45" s="50"/>
      <c r="AA45" s="50">
        <v>54</v>
      </c>
      <c r="AB45" s="50">
        <v>101</v>
      </c>
      <c r="AC45" s="50">
        <v>1.7</v>
      </c>
      <c r="AD45" s="50"/>
      <c r="AE45" s="50"/>
      <c r="AF45" s="50" t="s">
        <v>558</v>
      </c>
      <c r="AG45" s="50"/>
      <c r="AH45" s="50"/>
      <c r="AI45" s="17"/>
      <c r="AJ45" s="17"/>
      <c r="AK45" s="17"/>
      <c r="AL45" s="17"/>
      <c r="AM45" s="17"/>
      <c r="AN45" s="17"/>
      <c r="AO45" s="17"/>
      <c r="AP45" s="17"/>
      <c r="AQ45" s="17"/>
      <c r="AR45" s="17"/>
      <c r="AS45" s="17"/>
      <c r="AT45" s="17"/>
      <c r="AU45" s="17"/>
      <c r="AV45" s="17"/>
      <c r="AW45" s="17"/>
      <c r="AX45" s="17"/>
      <c r="AY45" s="17"/>
    </row>
    <row r="46" spans="1:51" x14ac:dyDescent="0.2">
      <c r="A46" s="21" t="s">
        <v>178</v>
      </c>
      <c r="B46" s="20">
        <v>1</v>
      </c>
      <c r="C46" s="20"/>
      <c r="D46" s="20"/>
      <c r="E46" s="20"/>
      <c r="F46" s="20"/>
      <c r="G46" s="20">
        <v>40</v>
      </c>
      <c r="H46" s="20"/>
      <c r="I46" s="20"/>
      <c r="J46" s="20"/>
      <c r="K46" s="20"/>
      <c r="L46" s="20"/>
      <c r="M46" s="20"/>
      <c r="N46" s="17"/>
      <c r="O46" s="27" t="s">
        <v>310</v>
      </c>
      <c r="P46" s="50"/>
      <c r="Q46" s="50"/>
      <c r="R46" s="50"/>
      <c r="S46" s="50"/>
      <c r="T46" s="50"/>
      <c r="U46" s="50"/>
      <c r="V46" s="50"/>
      <c r="W46" s="50"/>
      <c r="X46" s="50"/>
      <c r="Y46" s="50"/>
      <c r="Z46" s="50"/>
      <c r="AA46" s="50">
        <v>37</v>
      </c>
      <c r="AB46" s="50">
        <v>70</v>
      </c>
      <c r="AC46" s="50">
        <v>1.3</v>
      </c>
      <c r="AD46" s="50"/>
      <c r="AE46" s="50"/>
      <c r="AF46" s="50" t="s">
        <v>558</v>
      </c>
      <c r="AG46" s="50"/>
      <c r="AH46" s="50"/>
      <c r="AI46" s="17"/>
      <c r="AJ46" s="17"/>
      <c r="AK46" s="17"/>
      <c r="AL46" s="17"/>
      <c r="AM46" s="17"/>
      <c r="AN46" s="17"/>
      <c r="AO46" s="17"/>
      <c r="AP46" s="17"/>
      <c r="AQ46" s="17"/>
      <c r="AR46" s="17"/>
      <c r="AS46" s="17"/>
      <c r="AT46" s="17"/>
      <c r="AU46" s="17"/>
      <c r="AV46" s="17"/>
      <c r="AW46" s="17"/>
      <c r="AX46" s="17"/>
      <c r="AY46" s="17"/>
    </row>
    <row r="47" spans="1:51" x14ac:dyDescent="0.2">
      <c r="A47" s="21" t="s">
        <v>181</v>
      </c>
      <c r="B47" s="20"/>
      <c r="C47" s="20"/>
      <c r="D47" s="20"/>
      <c r="E47" s="20">
        <v>10</v>
      </c>
      <c r="F47" s="20"/>
      <c r="G47" s="20">
        <v>30</v>
      </c>
      <c r="H47" s="20"/>
      <c r="I47" s="20"/>
      <c r="J47" s="20"/>
      <c r="K47" s="20"/>
      <c r="L47" s="20"/>
      <c r="M47" s="20"/>
      <c r="N47" s="17"/>
      <c r="O47" s="27" t="s">
        <v>307</v>
      </c>
      <c r="P47" s="50"/>
      <c r="Q47" s="50"/>
      <c r="R47" s="50"/>
      <c r="S47" s="50"/>
      <c r="T47" s="50">
        <v>10</v>
      </c>
      <c r="U47" s="50"/>
      <c r="V47" s="50"/>
      <c r="W47" s="50"/>
      <c r="X47" s="50"/>
      <c r="Y47" s="50"/>
      <c r="Z47" s="50"/>
      <c r="AA47" s="50">
        <v>53</v>
      </c>
      <c r="AB47" s="50">
        <v>100</v>
      </c>
      <c r="AC47" s="50">
        <v>1.8</v>
      </c>
      <c r="AD47" s="50">
        <f ca="1">45*VLOOKUP(O47,ProcChance,4,FALSE)*0.8*(WhiteMHConnects+YellowConnects+WindfuryConnects+HoJConnects)*IF(Spell_Crit&gt;0,1+1.5*Spell_Crit/100,1)</f>
        <v>1.2154036593000275</v>
      </c>
      <c r="AE47" s="50">
        <f ca="1">45*VLOOKUP(O47,ProcChance,4,FALSE)*0.8*WhiteOHConnects*IF(Spell_Crit&gt;0,1+1.5*Spell_Crit/100,1)</f>
        <v>0.66787771809586327</v>
      </c>
      <c r="AF47" s="50" t="s">
        <v>558</v>
      </c>
      <c r="AG47" s="50">
        <f ca="1">45*VLOOKUP(O47,ProcChance,4,FALSE)*0.8*(WhiteMHConnects20+YellowConnects20+WindfuryConnects20+HoJConnects20)*IF(Spell_Crit&gt;0,1+1.5*Spell_Crit/100,1)</f>
        <v>1.5843382283575083</v>
      </c>
      <c r="AH47" s="50">
        <f ca="1">45*VLOOKUP(O47,ProcChance,4,FALSE)*0.8*WhiteOHConnects20*IF(Spell_Crit&gt;0,1+1.5*Spell_Crit/100,1)</f>
        <v>0.67654122510982939</v>
      </c>
      <c r="AI47" s="17"/>
      <c r="AJ47" s="17"/>
      <c r="AK47" s="17"/>
      <c r="AL47" s="17"/>
      <c r="AM47" s="17"/>
      <c r="AN47" s="17"/>
      <c r="AO47" s="17"/>
      <c r="AP47" s="17"/>
      <c r="AQ47" s="17"/>
      <c r="AR47" s="17"/>
      <c r="AS47" s="17"/>
      <c r="AT47" s="17"/>
      <c r="AU47" s="17"/>
      <c r="AV47" s="17"/>
      <c r="AW47" s="17"/>
      <c r="AX47" s="17"/>
      <c r="AY47" s="17"/>
    </row>
    <row r="48" spans="1:51" x14ac:dyDescent="0.2">
      <c r="A48" s="24"/>
      <c r="B48" s="23"/>
      <c r="C48" s="23"/>
      <c r="D48" s="23"/>
      <c r="E48" s="23"/>
      <c r="F48" s="23"/>
      <c r="G48" s="23"/>
      <c r="H48" s="23"/>
      <c r="I48" s="23"/>
      <c r="J48" s="23"/>
      <c r="K48" s="23"/>
      <c r="L48" s="23"/>
      <c r="M48" s="23"/>
      <c r="N48" s="17"/>
      <c r="O48" s="27" t="s">
        <v>304</v>
      </c>
      <c r="P48" s="50"/>
      <c r="Q48" s="50"/>
      <c r="R48" s="50"/>
      <c r="S48" s="50"/>
      <c r="T48" s="50"/>
      <c r="U48" s="50"/>
      <c r="V48" s="50"/>
      <c r="W48" s="50"/>
      <c r="X48" s="50"/>
      <c r="Y48" s="50"/>
      <c r="Z48" s="50"/>
      <c r="AA48" s="50">
        <v>63</v>
      </c>
      <c r="AB48" s="50">
        <v>119</v>
      </c>
      <c r="AC48" s="50">
        <v>1.8</v>
      </c>
      <c r="AD48" s="50">
        <f ca="1">75*VLOOKUP(O48,ProcChance,4,FALSE)*0.8*(WhiteMHConnects+YellowConnects+WindfuryConnects+HoJConnects)*IF(Spell_Crit&gt;0,1+1.5*Spell_Crit/100,1)</f>
        <v>2.7622810438636987</v>
      </c>
      <c r="AE48" s="50">
        <f ca="1">75*VLOOKUP(O48,ProcChance,4,FALSE)*0.8*WhiteOHConnects*IF(Spell_Crit&gt;0,1+1.5*Spell_Crit/100,1)</f>
        <v>1.5179039047633256</v>
      </c>
      <c r="AF48" s="50" t="s">
        <v>558</v>
      </c>
      <c r="AG48" s="50">
        <f ca="1">75*VLOOKUP(O48,ProcChance,4,FALSE)*0.8*(WhiteMHConnects20+YellowConnects20+WindfuryConnects20+HoJConnects20)*IF(Spell_Crit&gt;0,1+1.5*Spell_Crit/100,1)</f>
        <v>3.6007687008125195</v>
      </c>
      <c r="AH48" s="50">
        <f ca="1">75*VLOOKUP(O48,ProcChance,4,FALSE)*0.8*WhiteOHConnects20*IF(Spell_Crit&gt;0,1+1.5*Spell_Crit/100,1)</f>
        <v>1.5375936934314307</v>
      </c>
      <c r="AI48" s="17"/>
      <c r="AJ48" s="17"/>
      <c r="AK48" s="17"/>
      <c r="AL48" s="17"/>
      <c r="AM48" s="17"/>
      <c r="AN48" s="17"/>
      <c r="AO48" s="17"/>
      <c r="AP48" s="17"/>
      <c r="AQ48" s="17"/>
      <c r="AR48" s="17"/>
      <c r="AS48" s="17"/>
      <c r="AT48" s="17"/>
      <c r="AU48" s="17"/>
      <c r="AV48" s="17"/>
      <c r="AW48" s="17"/>
      <c r="AX48" s="17"/>
      <c r="AY48" s="17"/>
    </row>
    <row r="49" spans="1:51" x14ac:dyDescent="0.2">
      <c r="A49" s="17"/>
      <c r="B49" s="17"/>
      <c r="C49" s="17"/>
      <c r="D49" s="17"/>
      <c r="E49" s="17"/>
      <c r="F49" s="17"/>
      <c r="G49" s="17"/>
      <c r="H49" s="17"/>
      <c r="I49" s="17"/>
      <c r="J49" s="17"/>
      <c r="K49" s="17"/>
      <c r="L49" s="17"/>
      <c r="M49" s="17"/>
      <c r="N49" s="17"/>
      <c r="O49" s="27" t="s">
        <v>1165</v>
      </c>
      <c r="P49" s="50">
        <v>1</v>
      </c>
      <c r="Q49" s="50">
        <v>1</v>
      </c>
      <c r="R49" s="50"/>
      <c r="S49" s="50">
        <v>8</v>
      </c>
      <c r="T49" s="50">
        <v>8</v>
      </c>
      <c r="U49" s="50"/>
      <c r="V49" s="50"/>
      <c r="W49" s="50"/>
      <c r="X49" s="50"/>
      <c r="Y49" s="50"/>
      <c r="Z49" s="50"/>
      <c r="AA49" s="50">
        <v>83</v>
      </c>
      <c r="AB49" s="50">
        <v>126</v>
      </c>
      <c r="AC49" s="50">
        <v>1.6</v>
      </c>
      <c r="AD49" s="50"/>
      <c r="AE49" s="50"/>
      <c r="AF49" s="50" t="s">
        <v>558</v>
      </c>
      <c r="AG49" s="50"/>
      <c r="AH49" s="50"/>
      <c r="AI49" s="17"/>
      <c r="AJ49" s="17"/>
      <c r="AK49" s="17"/>
      <c r="AL49" s="17"/>
      <c r="AM49" s="17"/>
      <c r="AN49" s="17"/>
      <c r="AO49" s="17"/>
      <c r="AP49" s="17"/>
      <c r="AQ49" s="17"/>
      <c r="AR49" s="17"/>
      <c r="AS49" s="17"/>
      <c r="AT49" s="17"/>
      <c r="AU49" s="17"/>
      <c r="AV49" s="17"/>
      <c r="AW49" s="17"/>
      <c r="AX49" s="17"/>
      <c r="AY49" s="17"/>
    </row>
    <row r="50" spans="1:51" x14ac:dyDescent="0.2">
      <c r="A50" s="17"/>
      <c r="B50" s="17"/>
      <c r="C50" s="17"/>
      <c r="D50" s="17"/>
      <c r="E50" s="17"/>
      <c r="F50" s="17"/>
      <c r="G50" s="17"/>
      <c r="H50" s="17"/>
      <c r="I50" s="17"/>
      <c r="J50" s="17"/>
      <c r="K50" s="17"/>
      <c r="L50" s="17"/>
      <c r="M50" s="17"/>
      <c r="N50" s="17"/>
      <c r="O50" s="27" t="s">
        <v>313</v>
      </c>
      <c r="P50" s="50">
        <v>1</v>
      </c>
      <c r="Q50" s="50"/>
      <c r="R50" s="50">
        <v>4</v>
      </c>
      <c r="S50" s="50"/>
      <c r="T50" s="50"/>
      <c r="U50" s="50"/>
      <c r="V50" s="50"/>
      <c r="W50" s="50"/>
      <c r="X50" s="50"/>
      <c r="Y50" s="50"/>
      <c r="Z50" s="50"/>
      <c r="AA50" s="50">
        <v>49</v>
      </c>
      <c r="AB50" s="50">
        <v>92</v>
      </c>
      <c r="AC50" s="50">
        <v>1.7</v>
      </c>
      <c r="AD50" s="50"/>
      <c r="AE50" s="50"/>
      <c r="AF50" s="50" t="s">
        <v>558</v>
      </c>
      <c r="AG50" s="50"/>
      <c r="AH50" s="50"/>
      <c r="AI50" s="17"/>
      <c r="AJ50" s="17"/>
      <c r="AK50" s="17"/>
      <c r="AL50" s="17"/>
      <c r="AM50" s="17"/>
      <c r="AN50" s="17"/>
      <c r="AO50" s="17"/>
      <c r="AP50" s="17"/>
      <c r="AQ50" s="17"/>
      <c r="AR50" s="17"/>
      <c r="AS50" s="17"/>
      <c r="AT50" s="17"/>
      <c r="AU50" s="17"/>
      <c r="AV50" s="17"/>
      <c r="AW50" s="17"/>
      <c r="AX50" s="17"/>
      <c r="AY50" s="17"/>
    </row>
    <row r="51" spans="1:51" ht="12.75" customHeight="1" x14ac:dyDescent="0.2">
      <c r="A51" s="171" t="s">
        <v>135</v>
      </c>
      <c r="B51" s="171"/>
      <c r="C51" s="171"/>
      <c r="D51" s="171"/>
      <c r="E51" s="171"/>
      <c r="F51" s="171"/>
      <c r="G51" s="171"/>
      <c r="H51" s="171"/>
      <c r="I51" s="171"/>
      <c r="J51" s="171"/>
      <c r="K51" s="171"/>
      <c r="L51" s="171"/>
      <c r="M51" s="171"/>
      <c r="N51" s="17"/>
      <c r="O51" s="27" t="s">
        <v>787</v>
      </c>
      <c r="P51" s="50">
        <v>1</v>
      </c>
      <c r="Q51" s="50"/>
      <c r="R51" s="50"/>
      <c r="S51" s="50">
        <f>IF(Patch&lt;6,6,7)</f>
        <v>7</v>
      </c>
      <c r="T51" s="50"/>
      <c r="U51" s="50">
        <f>IF(Patch&lt;6,12,28)</f>
        <v>28</v>
      </c>
      <c r="V51" s="50"/>
      <c r="W51" s="50"/>
      <c r="X51" s="50"/>
      <c r="Y51" s="50"/>
      <c r="Z51" s="50"/>
      <c r="AA51" s="50">
        <f>IF(Patch&lt;6,79,95)</f>
        <v>95</v>
      </c>
      <c r="AB51" s="50">
        <f>IF(Patch&lt;6,120,143)</f>
        <v>143</v>
      </c>
      <c r="AC51" s="50">
        <v>2</v>
      </c>
      <c r="AD51" s="50"/>
      <c r="AE51" s="50"/>
      <c r="AF51" s="50" t="s">
        <v>558</v>
      </c>
      <c r="AG51" s="50"/>
      <c r="AH51" s="50"/>
      <c r="AI51" s="17"/>
      <c r="AJ51" s="17"/>
      <c r="AK51" s="17"/>
      <c r="AL51" s="17"/>
      <c r="AM51" s="17"/>
      <c r="AN51" s="17"/>
      <c r="AO51" s="17"/>
      <c r="AP51" s="17"/>
      <c r="AQ51" s="17"/>
      <c r="AR51" s="17"/>
      <c r="AS51" s="17"/>
      <c r="AT51" s="17"/>
      <c r="AU51" s="17"/>
      <c r="AV51" s="17"/>
      <c r="AW51" s="17"/>
      <c r="AX51" s="17"/>
      <c r="AY51" s="17"/>
    </row>
    <row r="52" spans="1:51" ht="12.75" customHeight="1" x14ac:dyDescent="0.2">
      <c r="A52" s="172"/>
      <c r="B52" s="172"/>
      <c r="C52" s="172"/>
      <c r="D52" s="172"/>
      <c r="E52" s="172"/>
      <c r="F52" s="172"/>
      <c r="G52" s="172"/>
      <c r="H52" s="172"/>
      <c r="I52" s="172"/>
      <c r="J52" s="172"/>
      <c r="K52" s="172"/>
      <c r="L52" s="172"/>
      <c r="M52" s="172"/>
      <c r="N52" s="17"/>
      <c r="O52" s="27" t="s">
        <v>1166</v>
      </c>
      <c r="P52" s="50">
        <v>1</v>
      </c>
      <c r="Q52" s="50">
        <v>1</v>
      </c>
      <c r="R52" s="50"/>
      <c r="S52" s="50"/>
      <c r="T52" s="50">
        <v>16</v>
      </c>
      <c r="U52" s="50"/>
      <c r="V52" s="50"/>
      <c r="W52" s="50"/>
      <c r="X52" s="50"/>
      <c r="Y52" s="50"/>
      <c r="Z52" s="50"/>
      <c r="AA52" s="50">
        <v>105</v>
      </c>
      <c r="AB52" s="50">
        <v>158</v>
      </c>
      <c r="AC52" s="50">
        <v>1.8</v>
      </c>
      <c r="AD52" s="50"/>
      <c r="AE52" s="50"/>
      <c r="AF52" s="50" t="s">
        <v>558</v>
      </c>
      <c r="AG52" s="50"/>
      <c r="AH52" s="50"/>
      <c r="AI52" s="17"/>
      <c r="AJ52" s="17"/>
      <c r="AK52" s="17"/>
      <c r="AL52" s="17"/>
      <c r="AM52" s="17"/>
      <c r="AN52" s="17"/>
      <c r="AO52" s="17"/>
      <c r="AP52" s="17"/>
      <c r="AQ52" s="17"/>
      <c r="AR52" s="17"/>
      <c r="AS52" s="17"/>
      <c r="AT52" s="17"/>
      <c r="AU52" s="17"/>
      <c r="AV52" s="17"/>
      <c r="AW52" s="17"/>
      <c r="AX52" s="17"/>
      <c r="AY52" s="17"/>
    </row>
    <row r="53" spans="1:51" x14ac:dyDescent="0.2">
      <c r="A53" s="22" t="s">
        <v>0</v>
      </c>
      <c r="B53" s="22" t="s">
        <v>1</v>
      </c>
      <c r="C53" s="22" t="s">
        <v>2</v>
      </c>
      <c r="D53" s="22" t="s">
        <v>3</v>
      </c>
      <c r="E53" s="22" t="s">
        <v>4</v>
      </c>
      <c r="F53" s="22" t="s">
        <v>5</v>
      </c>
      <c r="G53" s="22" t="s">
        <v>6</v>
      </c>
      <c r="H53" s="22" t="s">
        <v>140</v>
      </c>
      <c r="I53" s="22" t="s">
        <v>156</v>
      </c>
      <c r="J53" s="22" t="s">
        <v>157</v>
      </c>
      <c r="K53" s="22" t="s">
        <v>7</v>
      </c>
      <c r="L53" s="22" t="s">
        <v>122</v>
      </c>
      <c r="M53" s="22" t="s">
        <v>1049</v>
      </c>
      <c r="N53" s="17"/>
      <c r="O53" s="27" t="s">
        <v>1167</v>
      </c>
      <c r="P53" s="50"/>
      <c r="Q53" s="50">
        <v>1</v>
      </c>
      <c r="R53" s="50"/>
      <c r="S53" s="50">
        <v>8</v>
      </c>
      <c r="T53" s="50"/>
      <c r="U53" s="50">
        <v>36</v>
      </c>
      <c r="V53" s="50"/>
      <c r="W53" s="50"/>
      <c r="X53" s="50"/>
      <c r="Y53" s="50"/>
      <c r="Z53" s="50"/>
      <c r="AA53" s="50">
        <v>94</v>
      </c>
      <c r="AB53" s="50">
        <v>141</v>
      </c>
      <c r="AC53" s="50">
        <v>1.8</v>
      </c>
      <c r="AD53" s="50"/>
      <c r="AE53" s="50"/>
      <c r="AF53" s="50" t="s">
        <v>558</v>
      </c>
      <c r="AG53" s="50"/>
      <c r="AH53" s="50"/>
      <c r="AI53" s="17"/>
      <c r="AJ53" s="17"/>
      <c r="AK53" s="17"/>
      <c r="AL53" s="17"/>
      <c r="AM53" s="17"/>
      <c r="AN53" s="17"/>
      <c r="AO53" s="17"/>
      <c r="AP53" s="17"/>
      <c r="AQ53" s="17"/>
      <c r="AR53" s="17"/>
      <c r="AS53" s="17"/>
      <c r="AT53" s="17"/>
      <c r="AU53" s="17"/>
      <c r="AV53" s="17"/>
      <c r="AW53" s="17"/>
      <c r="AX53" s="17"/>
      <c r="AY53" s="17"/>
    </row>
    <row r="54" spans="1:51" x14ac:dyDescent="0.2">
      <c r="A54" s="21" t="s">
        <v>393</v>
      </c>
      <c r="B54" s="19"/>
      <c r="C54" s="19"/>
      <c r="D54" s="19"/>
      <c r="E54" s="19"/>
      <c r="F54" s="19"/>
      <c r="G54" s="19"/>
      <c r="H54" s="19"/>
      <c r="I54" s="19"/>
      <c r="J54" s="19"/>
      <c r="K54" s="19"/>
      <c r="L54" s="19"/>
      <c r="M54" s="19"/>
      <c r="N54" s="17"/>
      <c r="O54" s="27" t="s">
        <v>299</v>
      </c>
      <c r="P54" s="50"/>
      <c r="Q54" s="50"/>
      <c r="R54" s="50"/>
      <c r="S54" s="50"/>
      <c r="T54" s="50"/>
      <c r="U54" s="50"/>
      <c r="V54" s="50"/>
      <c r="W54" s="50"/>
      <c r="X54" s="50"/>
      <c r="Y54" s="50"/>
      <c r="Z54" s="50"/>
      <c r="AA54" s="50">
        <v>73</v>
      </c>
      <c r="AB54" s="50">
        <v>137</v>
      </c>
      <c r="AC54" s="50">
        <v>1.8</v>
      </c>
      <c r="AD54" s="50">
        <f ca="1">48*VLOOKUP(O54,ProcChance,4,FALSE)*0.8*(WhiteMHConnects+YellowConnects+WindfuryConnects+HoJConnects)*IF(Spell_Crit&gt;0,1+1.5*Spell_Crit/100,1)</f>
        <v>1.6500025435345826</v>
      </c>
      <c r="AE54" s="50">
        <f ca="1">48*VLOOKUP(O54,ProcChance,4,FALSE)*0.8*WhiteOHConnects*IF(Spell_Crit&gt;0,1+1.5*Spell_Crit/100,1)</f>
        <v>0.9066945991119596</v>
      </c>
      <c r="AF54" s="50" t="s">
        <v>558</v>
      </c>
      <c r="AG54" s="50">
        <f ca="1">48*VLOOKUP(O54,ProcChance,4,FALSE)*0.8*(WhiteMHConnects20+YellowConnects20+WindfuryConnects20+HoJConnects20)*IF(Spell_Crit&gt;0,1+1.5*Spell_Crit/100,1)</f>
        <v>2.1508591706186779</v>
      </c>
      <c r="AH54" s="50">
        <f ca="1">48*VLOOKUP(O54,ProcChance,4,FALSE)*0.8*WhiteOHConnects20*IF(Spell_Crit&gt;0,1+1.5*Spell_Crit/100,1)</f>
        <v>0.91845596620970771</v>
      </c>
      <c r="AI54" s="17"/>
      <c r="AJ54" s="17"/>
      <c r="AK54" s="17"/>
      <c r="AL54" s="17"/>
      <c r="AM54" s="17"/>
      <c r="AN54" s="17"/>
      <c r="AO54" s="17"/>
      <c r="AP54" s="17"/>
      <c r="AQ54" s="17"/>
      <c r="AR54" s="17"/>
      <c r="AS54" s="17"/>
      <c r="AT54" s="17"/>
      <c r="AU54" s="17"/>
      <c r="AV54" s="17"/>
      <c r="AW54" s="17"/>
      <c r="AX54" s="17"/>
      <c r="AY54" s="17"/>
    </row>
    <row r="55" spans="1:51" x14ac:dyDescent="0.2">
      <c r="A55" s="21" t="s">
        <v>1050</v>
      </c>
      <c r="B55" s="19"/>
      <c r="C55" s="19"/>
      <c r="D55" s="19"/>
      <c r="E55" s="19"/>
      <c r="F55" s="19"/>
      <c r="G55" s="19"/>
      <c r="H55" s="19"/>
      <c r="I55" s="19"/>
      <c r="J55" s="19"/>
      <c r="K55" s="19"/>
      <c r="L55" s="19"/>
      <c r="M55" s="19"/>
      <c r="N55" s="17"/>
      <c r="O55" s="26" t="s">
        <v>977</v>
      </c>
      <c r="P55" s="50"/>
      <c r="Q55" s="50"/>
      <c r="R55" s="50"/>
      <c r="S55" s="50">
        <v>15</v>
      </c>
      <c r="T55" s="50"/>
      <c r="U55" s="50">
        <v>20</v>
      </c>
      <c r="V55" s="50"/>
      <c r="W55" s="50"/>
      <c r="X55" s="50"/>
      <c r="Y55" s="50"/>
      <c r="Z55" s="50"/>
      <c r="AA55" s="50">
        <v>64</v>
      </c>
      <c r="AB55" s="50">
        <v>119</v>
      </c>
      <c r="AC55" s="50">
        <v>1.9</v>
      </c>
      <c r="AD55" s="50"/>
      <c r="AE55" s="50"/>
      <c r="AF55" s="50" t="s">
        <v>558</v>
      </c>
      <c r="AG55" s="50"/>
      <c r="AH55" s="50"/>
      <c r="AI55" s="17"/>
      <c r="AJ55" s="17"/>
      <c r="AK55" s="17"/>
      <c r="AL55" s="17"/>
      <c r="AM55" s="17"/>
      <c r="AN55" s="17"/>
      <c r="AO55" s="17"/>
      <c r="AP55" s="17"/>
      <c r="AQ55" s="17"/>
      <c r="AR55" s="17"/>
      <c r="AS55" s="17"/>
      <c r="AT55" s="17"/>
      <c r="AU55" s="17"/>
      <c r="AV55" s="17"/>
      <c r="AW55" s="17"/>
      <c r="AX55" s="17"/>
      <c r="AY55" s="17"/>
    </row>
    <row r="56" spans="1:51" x14ac:dyDescent="0.2">
      <c r="A56" s="21" t="s">
        <v>391</v>
      </c>
      <c r="B56" s="20"/>
      <c r="C56" s="20">
        <v>1</v>
      </c>
      <c r="D56" s="20">
        <v>13</v>
      </c>
      <c r="E56" s="20">
        <v>13</v>
      </c>
      <c r="F56" s="20">
        <v>13</v>
      </c>
      <c r="G56" s="20"/>
      <c r="H56" s="20"/>
      <c r="I56" s="20"/>
      <c r="J56" s="20"/>
      <c r="K56" s="20">
        <v>530</v>
      </c>
      <c r="L56" s="20"/>
      <c r="M56" s="20"/>
      <c r="N56" s="17"/>
      <c r="O56" s="27" t="s">
        <v>315</v>
      </c>
      <c r="P56" s="50"/>
      <c r="Q56" s="50"/>
      <c r="R56" s="50"/>
      <c r="S56" s="50">
        <v>10</v>
      </c>
      <c r="T56" s="50">
        <v>10</v>
      </c>
      <c r="U56" s="50"/>
      <c r="V56" s="50"/>
      <c r="W56" s="50"/>
      <c r="X56" s="50"/>
      <c r="Y56" s="50"/>
      <c r="Z56" s="50"/>
      <c r="AA56" s="50">
        <v>43</v>
      </c>
      <c r="AB56" s="50">
        <v>81</v>
      </c>
      <c r="AC56" s="50">
        <v>1.5</v>
      </c>
      <c r="AD56" s="50"/>
      <c r="AE56" s="50"/>
      <c r="AF56" s="50" t="s">
        <v>558</v>
      </c>
      <c r="AG56" s="50"/>
      <c r="AH56" s="50"/>
      <c r="AI56" s="17"/>
      <c r="AJ56" s="17"/>
      <c r="AK56" s="17"/>
      <c r="AL56" s="17"/>
      <c r="AM56" s="17"/>
      <c r="AN56" s="17"/>
      <c r="AO56" s="17"/>
      <c r="AP56" s="17"/>
      <c r="AQ56" s="17"/>
      <c r="AR56" s="17"/>
      <c r="AS56" s="17"/>
      <c r="AT56" s="17"/>
      <c r="AU56" s="17"/>
      <c r="AV56" s="17"/>
      <c r="AW56" s="17"/>
      <c r="AX56" s="17"/>
      <c r="AY56" s="17"/>
    </row>
    <row r="57" spans="1:51" x14ac:dyDescent="0.2">
      <c r="A57" s="21" t="s">
        <v>797</v>
      </c>
      <c r="B57" s="20"/>
      <c r="C57" s="20"/>
      <c r="D57" s="20">
        <v>18</v>
      </c>
      <c r="E57" s="20">
        <v>20</v>
      </c>
      <c r="F57" s="20">
        <v>17</v>
      </c>
      <c r="G57" s="20"/>
      <c r="H57" s="20"/>
      <c r="I57" s="20"/>
      <c r="J57" s="20"/>
      <c r="K57" s="20">
        <v>553</v>
      </c>
      <c r="L57" s="20"/>
      <c r="M57" s="20"/>
      <c r="N57" s="17"/>
      <c r="O57" s="27" t="s">
        <v>318</v>
      </c>
      <c r="P57" s="50"/>
      <c r="Q57" s="50"/>
      <c r="R57" s="50"/>
      <c r="S57" s="50">
        <v>5</v>
      </c>
      <c r="T57" s="50">
        <v>13</v>
      </c>
      <c r="U57" s="50"/>
      <c r="V57" s="50"/>
      <c r="W57" s="50"/>
      <c r="X57" s="50"/>
      <c r="Y57" s="50"/>
      <c r="Z57" s="50"/>
      <c r="AA57" s="50">
        <v>49</v>
      </c>
      <c r="AB57" s="50">
        <v>92</v>
      </c>
      <c r="AC57" s="50">
        <v>1.7</v>
      </c>
      <c r="AD57" s="50"/>
      <c r="AE57" s="50"/>
      <c r="AF57" s="50" t="s">
        <v>558</v>
      </c>
      <c r="AG57" s="50"/>
      <c r="AH57" s="50"/>
      <c r="AI57" s="17"/>
      <c r="AJ57" s="17"/>
      <c r="AK57" s="17"/>
      <c r="AL57" s="17"/>
      <c r="AM57" s="17"/>
      <c r="AN57" s="17"/>
      <c r="AO57" s="17"/>
      <c r="AP57" s="17"/>
      <c r="AQ57" s="17"/>
      <c r="AR57" s="17"/>
      <c r="AS57" s="17"/>
      <c r="AT57" s="17"/>
      <c r="AU57" s="17"/>
      <c r="AV57" s="17"/>
      <c r="AW57" s="17"/>
      <c r="AX57" s="17"/>
      <c r="AY57" s="17"/>
    </row>
    <row r="58" spans="1:51" x14ac:dyDescent="0.2">
      <c r="A58" s="21" t="s">
        <v>757</v>
      </c>
      <c r="B58" s="20"/>
      <c r="C58" s="20"/>
      <c r="D58" s="20"/>
      <c r="E58" s="20">
        <v>9</v>
      </c>
      <c r="F58" s="20"/>
      <c r="G58" s="20">
        <v>40</v>
      </c>
      <c r="H58" s="20"/>
      <c r="I58" s="20"/>
      <c r="J58" s="20"/>
      <c r="K58" s="20">
        <v>266</v>
      </c>
      <c r="L58" s="20"/>
      <c r="M58" s="20"/>
      <c r="N58" s="17"/>
      <c r="O58" s="27" t="s">
        <v>300</v>
      </c>
      <c r="P58" s="50"/>
      <c r="Q58" s="50"/>
      <c r="R58" s="50">
        <v>9</v>
      </c>
      <c r="S58" s="50">
        <v>14</v>
      </c>
      <c r="T58" s="50">
        <v>13</v>
      </c>
      <c r="U58" s="50"/>
      <c r="V58" s="50"/>
      <c r="W58" s="50"/>
      <c r="X58" s="50"/>
      <c r="Y58" s="50"/>
      <c r="Z58" s="50"/>
      <c r="AA58" s="50">
        <v>68</v>
      </c>
      <c r="AB58" s="50">
        <v>127</v>
      </c>
      <c r="AC58" s="50">
        <v>1.7</v>
      </c>
      <c r="AD58" s="50"/>
      <c r="AE58" s="50"/>
      <c r="AF58" s="50" t="s">
        <v>558</v>
      </c>
      <c r="AG58" s="50"/>
      <c r="AH58" s="50"/>
      <c r="AI58" s="17"/>
      <c r="AJ58" s="17"/>
      <c r="AK58" s="17"/>
      <c r="AL58" s="17"/>
      <c r="AM58" s="17"/>
      <c r="AN58" s="17"/>
      <c r="AO58" s="17"/>
      <c r="AP58" s="17"/>
      <c r="AQ58" s="17"/>
      <c r="AR58" s="17"/>
      <c r="AS58" s="17"/>
      <c r="AT58" s="17"/>
      <c r="AU58" s="17"/>
      <c r="AV58" s="17"/>
      <c r="AW58" s="17"/>
      <c r="AX58" s="17"/>
      <c r="AY58" s="17"/>
    </row>
    <row r="59" spans="1:51" x14ac:dyDescent="0.2">
      <c r="A59" s="21" t="s">
        <v>721</v>
      </c>
      <c r="B59" s="20"/>
      <c r="C59" s="20"/>
      <c r="D59" s="20">
        <v>16</v>
      </c>
      <c r="E59" s="20">
        <v>16</v>
      </c>
      <c r="F59" s="20">
        <v>11</v>
      </c>
      <c r="G59" s="20"/>
      <c r="H59" s="20"/>
      <c r="I59" s="20"/>
      <c r="J59" s="20">
        <v>3</v>
      </c>
      <c r="K59" s="20">
        <v>552</v>
      </c>
      <c r="L59" s="20"/>
      <c r="M59" s="20"/>
      <c r="N59" s="17"/>
      <c r="O59" s="27" t="s">
        <v>308</v>
      </c>
      <c r="P59" s="50"/>
      <c r="Q59" s="50"/>
      <c r="R59" s="50"/>
      <c r="S59" s="50"/>
      <c r="T59" s="50"/>
      <c r="U59" s="50"/>
      <c r="V59" s="50"/>
      <c r="W59" s="50"/>
      <c r="X59" s="50"/>
      <c r="Y59" s="50"/>
      <c r="Z59" s="50"/>
      <c r="AA59" s="50">
        <v>59</v>
      </c>
      <c r="AB59" s="50">
        <v>111</v>
      </c>
      <c r="AC59" s="50">
        <v>1.8</v>
      </c>
      <c r="AD59" s="50">
        <f ca="1">250*VLOOKUP(O59,ProcChance,4,FALSE)*(WhiteMHConnects+YellowConnects+WindfuryConnects+HoJConnects)*(1-MobMitigation)*DeathWishMod*(1+0.02*OneHSpec)*(YellowCrits*2+YellowHits)/100</f>
        <v>8.5890839504818626</v>
      </c>
      <c r="AE59" s="50">
        <f ca="1">250*VLOOKUP(O59,ProcChance,4,FALSE)*WhiteOHConnects*(1-MobMitigation)*DeathWishMod*(1+0.02*OneHSpec)*(YellowCrits*2+YellowHits)/100</f>
        <v>4.7197963783368531</v>
      </c>
      <c r="AF59" s="50" t="s">
        <v>558</v>
      </c>
      <c r="AG59" s="50">
        <f ca="1">250*VLOOKUP(O59,ProcChance,4,FALSE)*(WhiteMHConnects20+YellowConnects20+WindfuryConnects20+HoJConnects20)*(1-MobMitigation20)*DeathWishMod*(1+0.02*OneHSpec)*(YellowCrits*2+YellowHits)/100</f>
        <v>11.196291820577075</v>
      </c>
      <c r="AH59" s="50">
        <f ca="1">250*VLOOKUP(O59,ProcChance,4,FALSE)*WhiteOHConnects20*(1-MobMitigation20)*DeathWishMod*(1+0.02*OneHSpec)*(YellowCrits*2+YellowHits)/100</f>
        <v>4.7810201441854749</v>
      </c>
      <c r="AI59" s="17"/>
      <c r="AJ59" s="17"/>
      <c r="AK59" s="17"/>
      <c r="AL59" s="17"/>
      <c r="AM59" s="17"/>
      <c r="AN59" s="17"/>
      <c r="AO59" s="17"/>
      <c r="AP59" s="17"/>
      <c r="AQ59" s="17"/>
      <c r="AR59" s="17"/>
      <c r="AS59" s="17"/>
      <c r="AT59" s="17"/>
      <c r="AU59" s="17"/>
      <c r="AV59" s="17"/>
      <c r="AW59" s="17"/>
      <c r="AX59" s="17"/>
      <c r="AY59" s="17"/>
    </row>
    <row r="60" spans="1:51" x14ac:dyDescent="0.2">
      <c r="A60" s="21" t="s">
        <v>182</v>
      </c>
      <c r="B60" s="20"/>
      <c r="C60" s="20">
        <v>1</v>
      </c>
      <c r="D60" s="20">
        <v>20</v>
      </c>
      <c r="E60" s="20">
        <v>21</v>
      </c>
      <c r="F60" s="20">
        <v>16</v>
      </c>
      <c r="G60" s="20"/>
      <c r="H60" s="20"/>
      <c r="I60" s="20"/>
      <c r="J60" s="20">
        <v>4</v>
      </c>
      <c r="K60" s="20">
        <v>659</v>
      </c>
      <c r="L60" s="20"/>
      <c r="M60" s="20"/>
      <c r="N60" s="17"/>
      <c r="O60" s="29" t="s">
        <v>309</v>
      </c>
      <c r="P60" s="51"/>
      <c r="Q60" s="51"/>
      <c r="R60" s="51"/>
      <c r="S60" s="51">
        <v>6</v>
      </c>
      <c r="T60" s="51">
        <v>13</v>
      </c>
      <c r="U60" s="51"/>
      <c r="V60" s="51"/>
      <c r="W60" s="51"/>
      <c r="X60" s="51"/>
      <c r="Y60" s="51"/>
      <c r="Z60" s="51"/>
      <c r="AA60" s="51">
        <v>53</v>
      </c>
      <c r="AB60" s="51">
        <v>100</v>
      </c>
      <c r="AC60" s="51">
        <v>1.8</v>
      </c>
      <c r="AD60" s="51"/>
      <c r="AE60" s="51"/>
      <c r="AF60" s="51" t="s">
        <v>558</v>
      </c>
      <c r="AG60" s="51"/>
      <c r="AH60" s="51"/>
      <c r="AI60" s="17"/>
      <c r="AJ60" s="17"/>
      <c r="AK60" s="17"/>
      <c r="AL60" s="17"/>
      <c r="AM60" s="17"/>
      <c r="AN60" s="17"/>
      <c r="AO60" s="17"/>
      <c r="AP60" s="17"/>
      <c r="AQ60" s="17"/>
      <c r="AR60" s="17"/>
      <c r="AS60" s="17"/>
      <c r="AT60" s="17"/>
      <c r="AU60" s="17"/>
      <c r="AV60" s="17"/>
      <c r="AW60" s="17"/>
      <c r="AX60" s="17"/>
      <c r="AY60" s="17"/>
    </row>
    <row r="61" spans="1:51" x14ac:dyDescent="0.2">
      <c r="A61" s="21" t="s">
        <v>100</v>
      </c>
      <c r="B61" s="20"/>
      <c r="C61" s="20"/>
      <c r="D61" s="20">
        <v>20</v>
      </c>
      <c r="E61" s="20">
        <v>17</v>
      </c>
      <c r="F61" s="20">
        <v>20</v>
      </c>
      <c r="G61" s="20"/>
      <c r="H61" s="20">
        <v>1</v>
      </c>
      <c r="I61" s="20"/>
      <c r="J61" s="20"/>
      <c r="K61" s="20">
        <v>634</v>
      </c>
      <c r="L61" s="20"/>
      <c r="M61" s="20"/>
      <c r="N61" s="17"/>
      <c r="O61" s="40" t="s">
        <v>1026</v>
      </c>
      <c r="P61" s="31"/>
      <c r="Q61" s="31"/>
      <c r="R61" s="31"/>
      <c r="S61" s="31"/>
      <c r="T61" s="31"/>
      <c r="U61" s="31"/>
      <c r="V61" s="31"/>
      <c r="W61" s="31"/>
      <c r="X61" s="31"/>
      <c r="Y61" s="31"/>
      <c r="Z61" s="31"/>
      <c r="AA61" s="31"/>
      <c r="AB61" s="31"/>
      <c r="AC61" s="31"/>
      <c r="AD61" s="31"/>
      <c r="AE61" s="31"/>
      <c r="AF61" s="31"/>
      <c r="AG61" s="31"/>
      <c r="AH61" s="32"/>
      <c r="AI61" s="17"/>
      <c r="AJ61" s="17"/>
      <c r="AK61" s="17"/>
      <c r="AL61" s="17"/>
      <c r="AM61" s="17"/>
      <c r="AN61" s="17"/>
      <c r="AO61" s="17"/>
      <c r="AP61" s="17"/>
      <c r="AQ61" s="17"/>
      <c r="AR61" s="17"/>
      <c r="AS61" s="17"/>
      <c r="AT61" s="17"/>
      <c r="AU61" s="17"/>
      <c r="AV61" s="17"/>
      <c r="AW61" s="17"/>
      <c r="AX61" s="17"/>
      <c r="AY61" s="17"/>
    </row>
    <row r="62" spans="1:51" x14ac:dyDescent="0.2">
      <c r="A62" s="21" t="s">
        <v>725</v>
      </c>
      <c r="B62" s="20"/>
      <c r="C62" s="20">
        <v>1</v>
      </c>
      <c r="D62" s="20">
        <v>16</v>
      </c>
      <c r="E62" s="20">
        <v>29</v>
      </c>
      <c r="F62" s="20"/>
      <c r="G62" s="20"/>
      <c r="H62" s="20"/>
      <c r="I62" s="20"/>
      <c r="J62" s="20">
        <v>9</v>
      </c>
      <c r="K62" s="20">
        <v>722</v>
      </c>
      <c r="L62" s="20"/>
      <c r="M62" s="20"/>
      <c r="N62" s="17"/>
      <c r="O62" s="41" t="s">
        <v>332</v>
      </c>
      <c r="P62" s="34"/>
      <c r="Q62" s="34"/>
      <c r="R62" s="34"/>
      <c r="S62" s="34"/>
      <c r="T62" s="34"/>
      <c r="U62" s="34"/>
      <c r="V62" s="34"/>
      <c r="W62" s="34"/>
      <c r="X62" s="34"/>
      <c r="Y62" s="34"/>
      <c r="Z62" s="34"/>
      <c r="AA62" s="34"/>
      <c r="AB62" s="34"/>
      <c r="AC62" s="34"/>
      <c r="AD62" s="34"/>
      <c r="AE62" s="34"/>
      <c r="AF62" s="34"/>
      <c r="AG62" s="34"/>
      <c r="AH62" s="35"/>
      <c r="AI62" s="17"/>
      <c r="AJ62" s="17"/>
      <c r="AK62" s="17"/>
      <c r="AL62" s="17"/>
      <c r="AM62" s="17"/>
      <c r="AN62" s="17"/>
      <c r="AO62" s="17"/>
      <c r="AP62" s="17"/>
      <c r="AQ62" s="17"/>
      <c r="AR62" s="17"/>
      <c r="AS62" s="17"/>
      <c r="AT62" s="17"/>
      <c r="AU62" s="17"/>
      <c r="AV62" s="17"/>
      <c r="AW62" s="17"/>
      <c r="AX62" s="17"/>
      <c r="AY62" s="17"/>
    </row>
    <row r="63" spans="1:51" x14ac:dyDescent="0.2">
      <c r="A63" s="21" t="s">
        <v>722</v>
      </c>
      <c r="B63" s="20"/>
      <c r="C63" s="20"/>
      <c r="D63" s="20">
        <v>15</v>
      </c>
      <c r="E63" s="20">
        <v>22</v>
      </c>
      <c r="F63" s="20">
        <f>IF(Patch&lt;5,10,0)</f>
        <v>0</v>
      </c>
      <c r="G63" s="20"/>
      <c r="H63" s="20"/>
      <c r="I63" s="20"/>
      <c r="J63" s="20">
        <f>IF(Patch&lt;5,0,IF(Patch&lt;7,8,5))</f>
        <v>5</v>
      </c>
      <c r="K63" s="20">
        <v>562</v>
      </c>
      <c r="L63" s="20"/>
      <c r="M63" s="20"/>
      <c r="N63" s="17"/>
      <c r="O63" s="42" t="s">
        <v>1026</v>
      </c>
      <c r="P63" s="37"/>
      <c r="Q63" s="37"/>
      <c r="R63" s="37"/>
      <c r="S63" s="37"/>
      <c r="T63" s="37"/>
      <c r="U63" s="37"/>
      <c r="V63" s="37"/>
      <c r="W63" s="37"/>
      <c r="X63" s="37"/>
      <c r="Y63" s="37"/>
      <c r="Z63" s="37"/>
      <c r="AA63" s="37"/>
      <c r="AB63" s="37"/>
      <c r="AC63" s="37"/>
      <c r="AD63" s="37"/>
      <c r="AE63" s="37"/>
      <c r="AF63" s="37"/>
      <c r="AG63" s="37"/>
      <c r="AH63" s="38"/>
      <c r="AI63" s="17"/>
      <c r="AJ63" s="17"/>
      <c r="AK63" s="17"/>
      <c r="AL63" s="17"/>
      <c r="AM63" s="17"/>
      <c r="AN63" s="17"/>
      <c r="AO63" s="17"/>
      <c r="AP63" s="17"/>
      <c r="AQ63" s="17"/>
      <c r="AR63" s="17"/>
      <c r="AS63" s="17"/>
      <c r="AT63" s="17"/>
      <c r="AU63" s="17"/>
      <c r="AV63" s="17"/>
      <c r="AW63" s="17"/>
      <c r="AX63" s="17"/>
      <c r="AY63" s="17"/>
    </row>
    <row r="64" spans="1:51" x14ac:dyDescent="0.2">
      <c r="A64" s="21" t="s">
        <v>183</v>
      </c>
      <c r="B64" s="20"/>
      <c r="C64" s="20"/>
      <c r="D64" s="20">
        <v>11</v>
      </c>
      <c r="E64" s="20">
        <v>30</v>
      </c>
      <c r="F64" s="20"/>
      <c r="G64" s="20"/>
      <c r="H64" s="20">
        <v>1</v>
      </c>
      <c r="I64" s="20"/>
      <c r="J64" s="20">
        <v>9</v>
      </c>
      <c r="K64" s="20">
        <v>650</v>
      </c>
      <c r="L64" s="20"/>
      <c r="M64" s="20"/>
      <c r="N64" s="17"/>
      <c r="O64" s="28" t="s">
        <v>337</v>
      </c>
      <c r="P64" s="52"/>
      <c r="Q64" s="52"/>
      <c r="R64" s="52"/>
      <c r="S64" s="52"/>
      <c r="T64" s="52"/>
      <c r="U64" s="52"/>
      <c r="V64" s="52"/>
      <c r="W64" s="52"/>
      <c r="X64" s="52"/>
      <c r="Y64" s="52"/>
      <c r="Z64" s="52"/>
      <c r="AA64" s="52">
        <v>41</v>
      </c>
      <c r="AB64" s="52">
        <v>84</v>
      </c>
      <c r="AC64" s="52">
        <v>1.5</v>
      </c>
      <c r="AD64" s="52"/>
      <c r="AE64" s="52">
        <f ca="1">70*VLOOKUP(O64,ProcChance,4,FALSE)*0.8*WhiteOHConnects*IF(Spell_Crit&gt;0,1+1.5*Spell_Crit/100,1)</f>
        <v>1.4167103111124371</v>
      </c>
      <c r="AF64" s="52" t="s">
        <v>559</v>
      </c>
      <c r="AG64" s="52"/>
      <c r="AH64" s="52">
        <f ca="1">70*VLOOKUP(O64,ProcChance,4,FALSE)*0.8*WhiteOHConnects20*IF(Spell_Crit&gt;0,1+1.5*Spell_Crit/100,1)</f>
        <v>1.4350874472026685</v>
      </c>
      <c r="AI64" s="17"/>
      <c r="AJ64" s="17"/>
      <c r="AK64" s="17"/>
      <c r="AL64" s="17"/>
      <c r="AM64" s="17"/>
      <c r="AN64" s="17"/>
      <c r="AO64" s="17"/>
      <c r="AP64" s="17"/>
      <c r="AQ64" s="17"/>
      <c r="AR64" s="17"/>
      <c r="AS64" s="17"/>
      <c r="AT64" s="17"/>
      <c r="AU64" s="17"/>
      <c r="AV64" s="17"/>
      <c r="AW64" s="17"/>
      <c r="AX64" s="17"/>
      <c r="AY64" s="17"/>
    </row>
    <row r="65" spans="1:51" x14ac:dyDescent="0.2">
      <c r="A65" s="21" t="s">
        <v>184</v>
      </c>
      <c r="B65" s="20"/>
      <c r="C65" s="20"/>
      <c r="D65" s="20">
        <v>13</v>
      </c>
      <c r="E65" s="20">
        <v>27</v>
      </c>
      <c r="F65" s="20"/>
      <c r="G65" s="20"/>
      <c r="H65" s="20"/>
      <c r="I65" s="20"/>
      <c r="J65" s="20">
        <f>IF(Patch&lt;7,10,7)</f>
        <v>7</v>
      </c>
      <c r="K65" s="20">
        <v>642</v>
      </c>
      <c r="L65" s="20"/>
      <c r="M65" s="20"/>
      <c r="N65" s="17"/>
      <c r="O65" s="27" t="s">
        <v>1168</v>
      </c>
      <c r="P65" s="50">
        <v>1</v>
      </c>
      <c r="Q65" s="50"/>
      <c r="R65" s="50">
        <v>13</v>
      </c>
      <c r="S65" s="50">
        <v>7</v>
      </c>
      <c r="T65" s="50"/>
      <c r="U65" s="50"/>
      <c r="V65" s="50"/>
      <c r="W65" s="50"/>
      <c r="X65" s="50"/>
      <c r="Y65" s="50"/>
      <c r="Z65" s="50"/>
      <c r="AA65" s="50">
        <v>102</v>
      </c>
      <c r="AB65" s="50">
        <v>191</v>
      </c>
      <c r="AC65" s="50">
        <v>2.6</v>
      </c>
      <c r="AD65" s="50"/>
      <c r="AE65" s="50"/>
      <c r="AF65" s="50" t="s">
        <v>559</v>
      </c>
      <c r="AG65" s="50"/>
      <c r="AH65" s="50"/>
      <c r="AI65" s="17"/>
      <c r="AJ65" s="17"/>
      <c r="AK65" s="17"/>
      <c r="AL65" s="17"/>
      <c r="AM65" s="17"/>
      <c r="AN65" s="17"/>
      <c r="AO65" s="17"/>
      <c r="AP65" s="17"/>
      <c r="AQ65" s="17"/>
      <c r="AR65" s="17"/>
      <c r="AS65" s="17"/>
      <c r="AT65" s="17"/>
      <c r="AU65" s="17"/>
      <c r="AV65" s="17"/>
      <c r="AW65" s="17"/>
      <c r="AX65" s="17"/>
      <c r="AY65" s="17"/>
    </row>
    <row r="66" spans="1:51" x14ac:dyDescent="0.2">
      <c r="A66" s="21" t="s">
        <v>185</v>
      </c>
      <c r="B66" s="20"/>
      <c r="C66" s="20"/>
      <c r="D66" s="20">
        <v>16</v>
      </c>
      <c r="E66" s="20">
        <v>17</v>
      </c>
      <c r="F66" s="20"/>
      <c r="G66" s="20"/>
      <c r="H66" s="20"/>
      <c r="I66" s="20"/>
      <c r="J66" s="20">
        <v>7</v>
      </c>
      <c r="K66" s="20">
        <v>530</v>
      </c>
      <c r="L66" s="20"/>
      <c r="M66" s="20"/>
      <c r="N66" s="17"/>
      <c r="O66" s="27" t="s">
        <v>1169</v>
      </c>
      <c r="P66" s="50">
        <v>1</v>
      </c>
      <c r="Q66" s="50">
        <v>1</v>
      </c>
      <c r="R66" s="50"/>
      <c r="S66" s="50">
        <v>8</v>
      </c>
      <c r="T66" s="50"/>
      <c r="U66" s="50">
        <v>22</v>
      </c>
      <c r="V66" s="50"/>
      <c r="W66" s="50"/>
      <c r="X66" s="50"/>
      <c r="Y66" s="50"/>
      <c r="Z66" s="50"/>
      <c r="AA66" s="50">
        <v>75</v>
      </c>
      <c r="AB66" s="50">
        <v>140</v>
      </c>
      <c r="AC66" s="50">
        <v>1.5</v>
      </c>
      <c r="AD66" s="50"/>
      <c r="AE66" s="50"/>
      <c r="AF66" s="50" t="s">
        <v>559</v>
      </c>
      <c r="AG66" s="50"/>
      <c r="AH66" s="50"/>
      <c r="AI66" s="17"/>
      <c r="AJ66" s="17"/>
      <c r="AK66" s="17"/>
      <c r="AL66" s="17"/>
      <c r="AM66" s="17"/>
      <c r="AN66" s="17"/>
      <c r="AO66" s="17"/>
      <c r="AP66" s="17"/>
      <c r="AQ66" s="17"/>
      <c r="AR66" s="17"/>
      <c r="AS66" s="17"/>
      <c r="AT66" s="17"/>
      <c r="AU66" s="17"/>
      <c r="AV66" s="17"/>
      <c r="AW66" s="17"/>
      <c r="AX66" s="17"/>
      <c r="AY66" s="17"/>
    </row>
    <row r="67" spans="1:51" x14ac:dyDescent="0.2">
      <c r="A67" s="21" t="s">
        <v>720</v>
      </c>
      <c r="B67" s="20">
        <f>IF(Patch&lt;9,0,1)</f>
        <v>1</v>
      </c>
      <c r="C67" s="20"/>
      <c r="D67" s="20">
        <f>IF(Patch&lt;9,7,17)</f>
        <v>17</v>
      </c>
      <c r="E67" s="20">
        <f>IF(Patch&lt;9,23,18)</f>
        <v>18</v>
      </c>
      <c r="F67" s="20">
        <f>IF(Patch&lt;9,6,0)</f>
        <v>0</v>
      </c>
      <c r="G67" s="20"/>
      <c r="H67" s="20"/>
      <c r="I67" s="20"/>
      <c r="J67" s="20"/>
      <c r="K67" s="20">
        <f>IF(Patch&lt;9,493,552)</f>
        <v>552</v>
      </c>
      <c r="L67" s="20"/>
      <c r="M67" s="20"/>
      <c r="N67" s="17"/>
      <c r="O67" s="27" t="s">
        <v>334</v>
      </c>
      <c r="P67" s="50"/>
      <c r="Q67" s="50"/>
      <c r="R67" s="50"/>
      <c r="S67" s="50"/>
      <c r="T67" s="50">
        <v>4</v>
      </c>
      <c r="U67" s="50"/>
      <c r="V67" s="50"/>
      <c r="W67" s="50"/>
      <c r="X67" s="50"/>
      <c r="Y67" s="50"/>
      <c r="Z67" s="50"/>
      <c r="AA67" s="50">
        <v>50</v>
      </c>
      <c r="AB67" s="50">
        <v>94</v>
      </c>
      <c r="AC67" s="50">
        <v>1.5</v>
      </c>
      <c r="AD67" s="50"/>
      <c r="AE67" s="50"/>
      <c r="AF67" s="50" t="s">
        <v>559</v>
      </c>
      <c r="AG67" s="50"/>
      <c r="AH67" s="50"/>
      <c r="AI67" s="17"/>
      <c r="AJ67" s="17"/>
      <c r="AK67" s="17"/>
      <c r="AL67" s="17"/>
      <c r="AM67" s="17"/>
      <c r="AN67" s="17"/>
      <c r="AO67" s="17"/>
      <c r="AP67" s="17"/>
      <c r="AQ67" s="17"/>
      <c r="AR67" s="17"/>
      <c r="AS67" s="17"/>
      <c r="AT67" s="17"/>
      <c r="AU67" s="17"/>
      <c r="AV67" s="17"/>
      <c r="AW67" s="17"/>
      <c r="AX67" s="17"/>
      <c r="AY67" s="17"/>
    </row>
    <row r="68" spans="1:51" x14ac:dyDescent="0.2">
      <c r="A68" s="21" t="s">
        <v>724</v>
      </c>
      <c r="B68" s="20"/>
      <c r="C68" s="20">
        <f>IF(Patch&lt;10,0,1)</f>
        <v>1</v>
      </c>
      <c r="D68" s="20">
        <f>IF(Patch&lt;10,15,18)</f>
        <v>18</v>
      </c>
      <c r="E68" s="20">
        <f>IF(Patch&lt;10,26,23)</f>
        <v>23</v>
      </c>
      <c r="F68" s="20">
        <f>IF(Patch&lt;10,11,16)</f>
        <v>16</v>
      </c>
      <c r="G68" s="20"/>
      <c r="H68" s="20"/>
      <c r="I68" s="20"/>
      <c r="J68" s="20"/>
      <c r="K68" s="20">
        <f>IF(Patch&lt;10,553,626)</f>
        <v>626</v>
      </c>
      <c r="L68" s="20"/>
      <c r="M68" s="20"/>
      <c r="N68" s="17"/>
      <c r="O68" s="27" t="s">
        <v>335</v>
      </c>
      <c r="P68" s="50"/>
      <c r="Q68" s="50"/>
      <c r="R68" s="50"/>
      <c r="S68" s="50"/>
      <c r="T68" s="50">
        <v>4</v>
      </c>
      <c r="U68" s="50"/>
      <c r="V68" s="50"/>
      <c r="W68" s="50"/>
      <c r="X68" s="50"/>
      <c r="Y68" s="50"/>
      <c r="Z68" s="50"/>
      <c r="AA68" s="50">
        <v>50</v>
      </c>
      <c r="AB68" s="50">
        <v>94</v>
      </c>
      <c r="AC68" s="50">
        <v>1.5</v>
      </c>
      <c r="AD68" s="50"/>
      <c r="AE68" s="50"/>
      <c r="AF68" s="50" t="s">
        <v>559</v>
      </c>
      <c r="AG68" s="50"/>
      <c r="AH68" s="50"/>
      <c r="AI68" s="17"/>
      <c r="AJ68" s="17"/>
      <c r="AK68" s="17"/>
      <c r="AL68" s="17"/>
      <c r="AM68" s="17"/>
      <c r="AN68" s="17"/>
      <c r="AO68" s="17"/>
      <c r="AP68" s="17"/>
      <c r="AQ68" s="17"/>
      <c r="AR68" s="17"/>
      <c r="AS68" s="17"/>
      <c r="AT68" s="17"/>
      <c r="AU68" s="17"/>
      <c r="AV68" s="17"/>
      <c r="AW68" s="17"/>
      <c r="AX68" s="17"/>
      <c r="AY68" s="17"/>
    </row>
    <row r="69" spans="1:51" x14ac:dyDescent="0.2">
      <c r="A69" s="21" t="s">
        <v>646</v>
      </c>
      <c r="B69" s="20"/>
      <c r="C69" s="20">
        <v>1</v>
      </c>
      <c r="D69" s="20">
        <v>10</v>
      </c>
      <c r="E69" s="20">
        <v>9</v>
      </c>
      <c r="F69" s="20">
        <v>10</v>
      </c>
      <c r="G69" s="20"/>
      <c r="H69" s="20"/>
      <c r="I69" s="20"/>
      <c r="J69" s="20"/>
      <c r="K69" s="20">
        <v>410</v>
      </c>
      <c r="L69" s="20"/>
      <c r="M69" s="20"/>
      <c r="N69" s="17"/>
      <c r="O69" s="27" t="s">
        <v>786</v>
      </c>
      <c r="P69" s="50">
        <v>1</v>
      </c>
      <c r="Q69" s="50"/>
      <c r="R69" s="50"/>
      <c r="S69" s="50">
        <f>IF(Patch&lt;6,6,7)</f>
        <v>7</v>
      </c>
      <c r="T69" s="50"/>
      <c r="U69" s="50">
        <f>IF(Patch&lt;6,12,28)</f>
        <v>28</v>
      </c>
      <c r="V69" s="50"/>
      <c r="W69" s="50"/>
      <c r="X69" s="50"/>
      <c r="Y69" s="50"/>
      <c r="Z69" s="50"/>
      <c r="AA69" s="50">
        <f>IF(Patch&lt;6,115,138)</f>
        <v>138</v>
      </c>
      <c r="AB69" s="50">
        <f>IF(Patch&lt;6,173,207)</f>
        <v>207</v>
      </c>
      <c r="AC69" s="50">
        <v>2.9</v>
      </c>
      <c r="AD69" s="50"/>
      <c r="AE69" s="50"/>
      <c r="AF69" s="50" t="s">
        <v>559</v>
      </c>
      <c r="AG69" s="50"/>
      <c r="AH69" s="50"/>
      <c r="AI69" s="17"/>
      <c r="AJ69" s="17"/>
      <c r="AK69" s="17"/>
      <c r="AL69" s="17"/>
      <c r="AM69" s="17"/>
      <c r="AN69" s="17"/>
      <c r="AO69" s="17"/>
      <c r="AP69" s="17"/>
      <c r="AQ69" s="17"/>
      <c r="AR69" s="17"/>
      <c r="AS69" s="17"/>
      <c r="AT69" s="17"/>
      <c r="AU69" s="17"/>
      <c r="AV69" s="17"/>
      <c r="AW69" s="17"/>
      <c r="AX69" s="17"/>
      <c r="AY69" s="17"/>
    </row>
    <row r="70" spans="1:51" x14ac:dyDescent="0.2">
      <c r="A70" s="21" t="s">
        <v>186</v>
      </c>
      <c r="B70" s="20"/>
      <c r="C70" s="20"/>
      <c r="D70" s="20">
        <v>12</v>
      </c>
      <c r="E70" s="20">
        <v>18</v>
      </c>
      <c r="F70" s="20">
        <v>12</v>
      </c>
      <c r="G70" s="20"/>
      <c r="H70" s="20"/>
      <c r="I70" s="20"/>
      <c r="J70" s="20"/>
      <c r="K70" s="20">
        <v>507</v>
      </c>
      <c r="L70" s="20"/>
      <c r="M70" s="20"/>
      <c r="N70" s="17"/>
      <c r="O70" s="27" t="s">
        <v>339</v>
      </c>
      <c r="P70" s="50"/>
      <c r="Q70" s="50"/>
      <c r="R70" s="50">
        <v>5</v>
      </c>
      <c r="S70" s="50"/>
      <c r="T70" s="50">
        <v>12</v>
      </c>
      <c r="U70" s="50"/>
      <c r="V70" s="50"/>
      <c r="W70" s="50"/>
      <c r="X70" s="50"/>
      <c r="Y70" s="50"/>
      <c r="Z70" s="50"/>
      <c r="AA70" s="50">
        <v>42</v>
      </c>
      <c r="AB70" s="50">
        <v>78</v>
      </c>
      <c r="AC70" s="50">
        <v>1.5</v>
      </c>
      <c r="AD70" s="50"/>
      <c r="AE70" s="50"/>
      <c r="AF70" s="50" t="s">
        <v>559</v>
      </c>
      <c r="AG70" s="50"/>
      <c r="AH70" s="50"/>
      <c r="AI70" s="17"/>
      <c r="AJ70" s="17"/>
      <c r="AK70" s="17"/>
      <c r="AL70" s="17"/>
      <c r="AM70" s="17"/>
      <c r="AN70" s="17"/>
      <c r="AO70" s="17"/>
      <c r="AP70" s="17"/>
      <c r="AQ70" s="17"/>
      <c r="AR70" s="17"/>
      <c r="AS70" s="17"/>
      <c r="AT70" s="17"/>
      <c r="AU70" s="17"/>
      <c r="AV70" s="17"/>
      <c r="AW70" s="17"/>
      <c r="AX70" s="17"/>
      <c r="AY70" s="17"/>
    </row>
    <row r="71" spans="1:51" x14ac:dyDescent="0.2">
      <c r="A71" s="21" t="s">
        <v>723</v>
      </c>
      <c r="B71" s="20"/>
      <c r="C71" s="20"/>
      <c r="D71" s="20">
        <v>11</v>
      </c>
      <c r="E71" s="20">
        <v>17</v>
      </c>
      <c r="F71" s="20">
        <v>9</v>
      </c>
      <c r="G71" s="20"/>
      <c r="H71" s="20"/>
      <c r="I71" s="20"/>
      <c r="J71" s="20"/>
      <c r="K71" s="20">
        <v>470</v>
      </c>
      <c r="L71" s="20"/>
      <c r="M71" s="20"/>
      <c r="N71" s="17"/>
      <c r="O71" s="27" t="s">
        <v>333</v>
      </c>
      <c r="P71" s="50">
        <v>1</v>
      </c>
      <c r="Q71" s="50"/>
      <c r="R71" s="50"/>
      <c r="S71" s="50"/>
      <c r="T71" s="50"/>
      <c r="U71" s="50">
        <v>30</v>
      </c>
      <c r="V71" s="50"/>
      <c r="W71" s="50"/>
      <c r="X71" s="50"/>
      <c r="Y71" s="50"/>
      <c r="Z71" s="50"/>
      <c r="AA71" s="50">
        <v>64</v>
      </c>
      <c r="AB71" s="50">
        <v>120</v>
      </c>
      <c r="AC71" s="50">
        <v>1.6</v>
      </c>
      <c r="AD71" s="50"/>
      <c r="AE71" s="50"/>
      <c r="AF71" s="50" t="s">
        <v>559</v>
      </c>
      <c r="AG71" s="50"/>
      <c r="AH71" s="50"/>
      <c r="AI71" s="17"/>
      <c r="AJ71" s="17"/>
      <c r="AK71" s="17"/>
      <c r="AL71" s="17"/>
      <c r="AM71" s="17"/>
      <c r="AN71" s="17"/>
      <c r="AO71" s="17"/>
      <c r="AP71" s="17"/>
      <c r="AQ71" s="17"/>
      <c r="AR71" s="17"/>
      <c r="AS71" s="17"/>
      <c r="AT71" s="17"/>
      <c r="AU71" s="17"/>
      <c r="AV71" s="17"/>
      <c r="AW71" s="17"/>
      <c r="AX71" s="17"/>
      <c r="AY71" s="17"/>
    </row>
    <row r="72" spans="1:51" x14ac:dyDescent="0.2">
      <c r="A72" s="21" t="s">
        <v>660</v>
      </c>
      <c r="B72" s="20"/>
      <c r="C72" s="20">
        <v>2</v>
      </c>
      <c r="D72" s="20"/>
      <c r="E72" s="20"/>
      <c r="F72" s="20"/>
      <c r="G72" s="20">
        <v>24</v>
      </c>
      <c r="H72" s="20"/>
      <c r="I72" s="20"/>
      <c r="J72" s="20"/>
      <c r="K72" s="20">
        <v>129</v>
      </c>
      <c r="L72" s="20"/>
      <c r="M72" s="20"/>
      <c r="N72" s="17"/>
      <c r="O72" s="27" t="s">
        <v>336</v>
      </c>
      <c r="P72" s="50">
        <v>1</v>
      </c>
      <c r="Q72" s="50"/>
      <c r="R72" s="50"/>
      <c r="S72" s="50">
        <v>13</v>
      </c>
      <c r="T72" s="50"/>
      <c r="U72" s="50"/>
      <c r="V72" s="50"/>
      <c r="W72" s="50"/>
      <c r="X72" s="50"/>
      <c r="Y72" s="50"/>
      <c r="Z72" s="50"/>
      <c r="AA72" s="50">
        <v>72</v>
      </c>
      <c r="AB72" s="50">
        <v>135</v>
      </c>
      <c r="AC72" s="50">
        <v>2.2000000000000002</v>
      </c>
      <c r="AD72" s="50"/>
      <c r="AE72" s="50"/>
      <c r="AF72" s="50" t="s">
        <v>559</v>
      </c>
      <c r="AG72" s="50"/>
      <c r="AH72" s="50"/>
      <c r="AI72" s="17"/>
      <c r="AJ72" s="17"/>
      <c r="AK72" s="17"/>
      <c r="AL72" s="17"/>
      <c r="AM72" s="17"/>
      <c r="AN72" s="17"/>
      <c r="AO72" s="17"/>
      <c r="AP72" s="17"/>
      <c r="AQ72" s="17"/>
      <c r="AR72" s="17"/>
      <c r="AS72" s="17"/>
      <c r="AT72" s="17"/>
      <c r="AU72" s="17"/>
      <c r="AV72" s="17"/>
      <c r="AW72" s="17"/>
      <c r="AX72" s="17"/>
      <c r="AY72" s="17"/>
    </row>
    <row r="73" spans="1:51" x14ac:dyDescent="0.2">
      <c r="A73" s="21" t="s">
        <v>726</v>
      </c>
      <c r="B73" s="20"/>
      <c r="C73" s="20">
        <v>2</v>
      </c>
      <c r="D73" s="20"/>
      <c r="E73" s="20"/>
      <c r="F73" s="20"/>
      <c r="G73" s="20"/>
      <c r="H73" s="20"/>
      <c r="I73" s="20"/>
      <c r="J73" s="20"/>
      <c r="K73" s="20">
        <v>113</v>
      </c>
      <c r="L73" s="20"/>
      <c r="M73" s="20"/>
      <c r="N73" s="17"/>
      <c r="O73" s="29" t="s">
        <v>338</v>
      </c>
      <c r="P73" s="50"/>
      <c r="Q73" s="50"/>
      <c r="R73" s="50"/>
      <c r="S73" s="50">
        <v>12</v>
      </c>
      <c r="T73" s="50"/>
      <c r="U73" s="50">
        <v>10</v>
      </c>
      <c r="V73" s="50"/>
      <c r="W73" s="50"/>
      <c r="X73" s="50"/>
      <c r="Y73" s="50"/>
      <c r="Z73" s="50"/>
      <c r="AA73" s="50">
        <v>73</v>
      </c>
      <c r="AB73" s="50">
        <v>136</v>
      </c>
      <c r="AC73" s="50">
        <v>2.6</v>
      </c>
      <c r="AD73" s="50"/>
      <c r="AE73" s="50"/>
      <c r="AF73" s="50" t="s">
        <v>559</v>
      </c>
      <c r="AG73" s="50"/>
      <c r="AH73" s="50"/>
      <c r="AI73" s="17"/>
      <c r="AJ73" s="17"/>
      <c r="AK73" s="17"/>
      <c r="AL73" s="17"/>
      <c r="AM73" s="17"/>
      <c r="AN73" s="17"/>
      <c r="AO73" s="17"/>
      <c r="AP73" s="17"/>
      <c r="AQ73" s="17"/>
      <c r="AR73" s="17"/>
      <c r="AS73" s="17"/>
      <c r="AT73" s="17"/>
      <c r="AU73" s="17"/>
      <c r="AV73" s="17"/>
      <c r="AW73" s="17"/>
      <c r="AX73" s="17"/>
      <c r="AY73" s="17"/>
    </row>
    <row r="74" spans="1:51" x14ac:dyDescent="0.2">
      <c r="A74" s="24"/>
      <c r="B74" s="23"/>
      <c r="C74" s="23"/>
      <c r="D74" s="23"/>
      <c r="E74" s="23"/>
      <c r="F74" s="23"/>
      <c r="G74" s="23"/>
      <c r="H74" s="23"/>
      <c r="I74" s="23"/>
      <c r="J74" s="23"/>
      <c r="K74" s="23"/>
      <c r="L74" s="23"/>
      <c r="M74" s="23"/>
      <c r="N74" s="17"/>
      <c r="O74" s="40" t="s">
        <v>1026</v>
      </c>
      <c r="P74" s="31"/>
      <c r="Q74" s="31"/>
      <c r="R74" s="31"/>
      <c r="S74" s="31"/>
      <c r="T74" s="31"/>
      <c r="U74" s="31"/>
      <c r="V74" s="31"/>
      <c r="W74" s="31"/>
      <c r="X74" s="31"/>
      <c r="Y74" s="31"/>
      <c r="Z74" s="31"/>
      <c r="AA74" s="31"/>
      <c r="AB74" s="31"/>
      <c r="AC74" s="31"/>
      <c r="AD74" s="31"/>
      <c r="AE74" s="31"/>
      <c r="AF74" s="31"/>
      <c r="AG74" s="31"/>
      <c r="AH74" s="32"/>
      <c r="AI74" s="17"/>
      <c r="AJ74" s="17"/>
      <c r="AK74" s="17"/>
      <c r="AL74" s="17"/>
      <c r="AM74" s="17"/>
      <c r="AN74" s="17"/>
      <c r="AO74" s="17"/>
      <c r="AP74" s="17"/>
      <c r="AQ74" s="17"/>
      <c r="AR74" s="17"/>
      <c r="AS74" s="17"/>
      <c r="AT74" s="17"/>
      <c r="AU74" s="17"/>
      <c r="AV74" s="17"/>
      <c r="AW74" s="17"/>
      <c r="AX74" s="17"/>
      <c r="AY74" s="17"/>
    </row>
    <row r="75" spans="1:51" x14ac:dyDescent="0.2">
      <c r="A75" s="17"/>
      <c r="B75" s="17"/>
      <c r="C75" s="17"/>
      <c r="D75" s="17"/>
      <c r="E75" s="17"/>
      <c r="F75" s="17"/>
      <c r="G75" s="17"/>
      <c r="H75" s="17"/>
      <c r="I75" s="17"/>
      <c r="J75" s="17"/>
      <c r="K75" s="17"/>
      <c r="L75" s="17"/>
      <c r="M75" s="17"/>
      <c r="N75" s="17"/>
      <c r="O75" s="41" t="s">
        <v>319</v>
      </c>
      <c r="P75" s="34"/>
      <c r="Q75" s="34"/>
      <c r="R75" s="34"/>
      <c r="S75" s="34"/>
      <c r="T75" s="34"/>
      <c r="U75" s="34"/>
      <c r="V75" s="34"/>
      <c r="W75" s="34"/>
      <c r="X75" s="34"/>
      <c r="Y75" s="34"/>
      <c r="Z75" s="34"/>
      <c r="AA75" s="34"/>
      <c r="AB75" s="34"/>
      <c r="AC75" s="34"/>
      <c r="AD75" s="34"/>
      <c r="AE75" s="34"/>
      <c r="AF75" s="34"/>
      <c r="AG75" s="34"/>
      <c r="AH75" s="35"/>
      <c r="AI75" s="17"/>
      <c r="AJ75" s="17"/>
      <c r="AK75" s="17"/>
      <c r="AL75" s="17"/>
      <c r="AM75" s="17"/>
      <c r="AN75" s="17"/>
      <c r="AO75" s="17"/>
      <c r="AP75" s="17"/>
      <c r="AQ75" s="17"/>
      <c r="AR75" s="17"/>
      <c r="AS75" s="17"/>
      <c r="AT75" s="17"/>
      <c r="AU75" s="17"/>
      <c r="AV75" s="17"/>
      <c r="AW75" s="17"/>
      <c r="AX75" s="17"/>
      <c r="AY75" s="17"/>
    </row>
    <row r="76" spans="1:51" x14ac:dyDescent="0.2">
      <c r="A76" s="17"/>
      <c r="B76" s="17"/>
      <c r="C76" s="17"/>
      <c r="D76" s="17"/>
      <c r="E76" s="17"/>
      <c r="F76" s="17"/>
      <c r="G76" s="17"/>
      <c r="H76" s="17"/>
      <c r="I76" s="17"/>
      <c r="J76" s="17"/>
      <c r="K76" s="17"/>
      <c r="L76" s="17"/>
      <c r="M76" s="17"/>
      <c r="N76" s="17"/>
      <c r="O76" s="42" t="s">
        <v>1026</v>
      </c>
      <c r="P76" s="37"/>
      <c r="Q76" s="37"/>
      <c r="R76" s="37"/>
      <c r="S76" s="37"/>
      <c r="T76" s="37"/>
      <c r="U76" s="37"/>
      <c r="V76" s="37"/>
      <c r="W76" s="37"/>
      <c r="X76" s="37"/>
      <c r="Y76" s="37"/>
      <c r="Z76" s="37"/>
      <c r="AA76" s="37"/>
      <c r="AB76" s="37"/>
      <c r="AC76" s="37"/>
      <c r="AD76" s="37"/>
      <c r="AE76" s="37"/>
      <c r="AF76" s="37"/>
      <c r="AG76" s="37"/>
      <c r="AH76" s="38"/>
      <c r="AI76" s="17"/>
      <c r="AJ76" s="17"/>
      <c r="AK76" s="17"/>
      <c r="AL76" s="17"/>
      <c r="AM76" s="17"/>
      <c r="AN76" s="17"/>
      <c r="AO76" s="17"/>
      <c r="AP76" s="17"/>
      <c r="AQ76" s="17"/>
      <c r="AR76" s="17"/>
      <c r="AS76" s="17"/>
      <c r="AT76" s="17"/>
      <c r="AU76" s="17"/>
      <c r="AV76" s="17"/>
      <c r="AW76" s="17"/>
      <c r="AX76" s="17"/>
      <c r="AY76" s="17"/>
    </row>
    <row r="77" spans="1:51" ht="12.75" customHeight="1" x14ac:dyDescent="0.2">
      <c r="A77" s="171" t="s">
        <v>15</v>
      </c>
      <c r="B77" s="171"/>
      <c r="C77" s="171"/>
      <c r="D77" s="171"/>
      <c r="E77" s="171"/>
      <c r="F77" s="171"/>
      <c r="G77" s="171"/>
      <c r="H77" s="171"/>
      <c r="I77" s="171"/>
      <c r="J77" s="171"/>
      <c r="K77" s="171"/>
      <c r="L77" s="171"/>
      <c r="M77" s="171"/>
      <c r="N77" s="17"/>
      <c r="O77" s="28" t="s">
        <v>324</v>
      </c>
      <c r="P77" s="50"/>
      <c r="Q77" s="50"/>
      <c r="R77" s="50"/>
      <c r="S77" s="50">
        <v>7</v>
      </c>
      <c r="T77" s="50"/>
      <c r="U77" s="50">
        <v>32</v>
      </c>
      <c r="V77" s="50"/>
      <c r="W77" s="50"/>
      <c r="X77" s="50"/>
      <c r="Y77" s="50"/>
      <c r="Z77" s="50">
        <v>4</v>
      </c>
      <c r="AA77" s="50">
        <v>66</v>
      </c>
      <c r="AB77" s="50">
        <v>123</v>
      </c>
      <c r="AC77" s="50">
        <v>1.8</v>
      </c>
      <c r="AD77" s="50"/>
      <c r="AE77" s="50"/>
      <c r="AF77" s="50" t="s">
        <v>428</v>
      </c>
      <c r="AG77" s="50"/>
      <c r="AH77" s="50"/>
      <c r="AI77" s="17"/>
      <c r="AJ77" s="17"/>
      <c r="AK77" s="17"/>
      <c r="AL77" s="17"/>
      <c r="AM77" s="17"/>
      <c r="AN77" s="17"/>
      <c r="AO77" s="17"/>
      <c r="AP77" s="17"/>
      <c r="AQ77" s="17"/>
      <c r="AR77" s="17"/>
      <c r="AS77" s="17"/>
      <c r="AT77" s="17"/>
      <c r="AU77" s="17"/>
      <c r="AV77" s="17"/>
      <c r="AW77" s="17"/>
      <c r="AX77" s="17"/>
      <c r="AY77" s="17"/>
    </row>
    <row r="78" spans="1:51" ht="12.75" customHeight="1" x14ac:dyDescent="0.2">
      <c r="A78" s="172"/>
      <c r="B78" s="172"/>
      <c r="C78" s="172"/>
      <c r="D78" s="172"/>
      <c r="E78" s="172"/>
      <c r="F78" s="172"/>
      <c r="G78" s="172"/>
      <c r="H78" s="172"/>
      <c r="I78" s="172"/>
      <c r="J78" s="172"/>
      <c r="K78" s="172"/>
      <c r="L78" s="172"/>
      <c r="M78" s="172"/>
      <c r="N78" s="17"/>
      <c r="O78" s="27" t="s">
        <v>320</v>
      </c>
      <c r="P78" s="50"/>
      <c r="Q78" s="50"/>
      <c r="R78" s="50">
        <v>10</v>
      </c>
      <c r="S78" s="50">
        <v>12</v>
      </c>
      <c r="T78" s="50"/>
      <c r="U78" s="50"/>
      <c r="V78" s="50"/>
      <c r="W78" s="50"/>
      <c r="X78" s="50">
        <v>8</v>
      </c>
      <c r="Y78" s="50">
        <v>70</v>
      </c>
      <c r="Z78" s="50"/>
      <c r="AA78" s="50">
        <v>89</v>
      </c>
      <c r="AB78" s="50">
        <v>166</v>
      </c>
      <c r="AC78" s="50">
        <v>2.1</v>
      </c>
      <c r="AD78" s="50"/>
      <c r="AE78" s="50"/>
      <c r="AF78" s="50" t="s">
        <v>428</v>
      </c>
      <c r="AG78" s="50"/>
      <c r="AH78" s="50"/>
      <c r="AI78" s="17"/>
      <c r="AJ78" s="17"/>
      <c r="AK78" s="17"/>
      <c r="AL78" s="17"/>
      <c r="AM78" s="17"/>
      <c r="AN78" s="17"/>
      <c r="AO78" s="17"/>
      <c r="AP78" s="17"/>
      <c r="AQ78" s="17"/>
      <c r="AR78" s="17"/>
      <c r="AS78" s="17"/>
      <c r="AT78" s="17"/>
      <c r="AU78" s="17"/>
      <c r="AV78" s="17"/>
      <c r="AW78" s="17"/>
      <c r="AX78" s="17"/>
      <c r="AY78" s="17"/>
    </row>
    <row r="79" spans="1:51" x14ac:dyDescent="0.2">
      <c r="A79" s="22" t="s">
        <v>0</v>
      </c>
      <c r="B79" s="22" t="s">
        <v>1</v>
      </c>
      <c r="C79" s="22" t="s">
        <v>2</v>
      </c>
      <c r="D79" s="22" t="s">
        <v>3</v>
      </c>
      <c r="E79" s="22" t="s">
        <v>4</v>
      </c>
      <c r="F79" s="22" t="s">
        <v>5</v>
      </c>
      <c r="G79" s="22" t="s">
        <v>6</v>
      </c>
      <c r="H79" s="22" t="s">
        <v>140</v>
      </c>
      <c r="I79" s="22" t="s">
        <v>156</v>
      </c>
      <c r="J79" s="22" t="s">
        <v>157</v>
      </c>
      <c r="K79" s="22" t="s">
        <v>7</v>
      </c>
      <c r="L79" s="22" t="s">
        <v>122</v>
      </c>
      <c r="M79" s="22" t="s">
        <v>1049</v>
      </c>
      <c r="N79" s="17"/>
      <c r="O79" s="27" t="s">
        <v>325</v>
      </c>
      <c r="P79" s="50"/>
      <c r="Q79" s="50"/>
      <c r="R79" s="50"/>
      <c r="S79" s="50">
        <v>9</v>
      </c>
      <c r="T79" s="50"/>
      <c r="U79" s="50"/>
      <c r="V79" s="50"/>
      <c r="W79" s="50"/>
      <c r="X79" s="50"/>
      <c r="Y79" s="50"/>
      <c r="Z79" s="50"/>
      <c r="AA79" s="50">
        <v>83</v>
      </c>
      <c r="AB79" s="50">
        <v>154</v>
      </c>
      <c r="AC79" s="50">
        <v>2.2999999999999998</v>
      </c>
      <c r="AD79" s="50">
        <f ca="1">200*VLOOKUP(O79,ProcChance,4,FALSE)*0.8*(WhiteMHConnects+YellowConnects+WindfuryConnects+HoJConnects)*IF(Spell_Crit&gt;0,1+1.5*Spell_Crit/100,1)</f>
        <v>11.294660268242676</v>
      </c>
      <c r="AE79" s="50">
        <f ca="1">200*VLOOKUP(O79,ProcChance,4,FALSE)*0.8*WhiteOHConnects*IF(Spell_Crit&gt;0,1+1.5*Spell_Crit/100,1)</f>
        <v>6.2065404105878175</v>
      </c>
      <c r="AF79" s="50" t="s">
        <v>428</v>
      </c>
      <c r="AG79" s="50">
        <f ca="1">200*VLOOKUP(O79,ProcChance,4,FALSE)*0.8*(WhiteMHConnects20+YellowConnects20+WindfuryConnects20+HoJConnects20)*IF(Spell_Crit&gt;0,1+1.5*Spell_Crit/100,1)</f>
        <v>14.723143132211186</v>
      </c>
      <c r="AH79" s="50">
        <f ca="1">200*VLOOKUP(O79,ProcChance,4,FALSE)*0.8*WhiteOHConnects20*IF(Spell_Crit&gt;0,1+1.5*Spell_Crit/100,1)</f>
        <v>6.2870497686974032</v>
      </c>
      <c r="AI79" s="17"/>
      <c r="AJ79" s="17"/>
      <c r="AK79" s="17"/>
      <c r="AL79" s="17"/>
      <c r="AM79" s="17"/>
      <c r="AN79" s="17"/>
      <c r="AO79" s="17"/>
      <c r="AP79" s="17"/>
      <c r="AQ79" s="17"/>
      <c r="AR79" s="17"/>
      <c r="AS79" s="17"/>
      <c r="AT79" s="17"/>
      <c r="AU79" s="17"/>
      <c r="AV79" s="17"/>
      <c r="AW79" s="17"/>
      <c r="AX79" s="17"/>
      <c r="AY79" s="17"/>
    </row>
    <row r="80" spans="1:51" x14ac:dyDescent="0.2">
      <c r="A80" s="21" t="s">
        <v>393</v>
      </c>
      <c r="B80" s="19"/>
      <c r="C80" s="19"/>
      <c r="D80" s="19"/>
      <c r="E80" s="19"/>
      <c r="F80" s="19"/>
      <c r="G80" s="19"/>
      <c r="H80" s="19"/>
      <c r="I80" s="19"/>
      <c r="J80" s="19"/>
      <c r="K80" s="19"/>
      <c r="L80" s="19"/>
      <c r="M80" s="19"/>
      <c r="N80" s="17"/>
      <c r="O80" s="27" t="s">
        <v>326</v>
      </c>
      <c r="P80" s="50"/>
      <c r="Q80" s="50"/>
      <c r="R80" s="50"/>
      <c r="S80" s="50"/>
      <c r="T80" s="50"/>
      <c r="U80" s="50"/>
      <c r="V80" s="50"/>
      <c r="W80" s="50"/>
      <c r="X80" s="50"/>
      <c r="Y80" s="50"/>
      <c r="Z80" s="50"/>
      <c r="AA80" s="50">
        <v>94</v>
      </c>
      <c r="AB80" s="50">
        <v>175</v>
      </c>
      <c r="AC80" s="50">
        <v>2.8</v>
      </c>
      <c r="AD80" s="50"/>
      <c r="AE80" s="50"/>
      <c r="AF80" s="50" t="s">
        <v>428</v>
      </c>
      <c r="AG80" s="50"/>
      <c r="AH80" s="50"/>
      <c r="AI80" s="17"/>
      <c r="AJ80" s="17"/>
      <c r="AK80" s="17"/>
      <c r="AL80" s="17"/>
      <c r="AM80" s="17"/>
      <c r="AN80" s="17"/>
      <c r="AO80" s="17"/>
      <c r="AP80" s="17"/>
      <c r="AQ80" s="17"/>
      <c r="AR80" s="17"/>
      <c r="AS80" s="17"/>
      <c r="AT80" s="17"/>
      <c r="AU80" s="17"/>
      <c r="AV80" s="17"/>
      <c r="AW80" s="17"/>
      <c r="AX80" s="17"/>
      <c r="AY80" s="17"/>
    </row>
    <row r="81" spans="1:51" x14ac:dyDescent="0.2">
      <c r="A81" s="21" t="s">
        <v>1050</v>
      </c>
      <c r="B81" s="19"/>
      <c r="C81" s="19"/>
      <c r="D81" s="19"/>
      <c r="E81" s="19"/>
      <c r="F81" s="19"/>
      <c r="G81" s="19"/>
      <c r="H81" s="19"/>
      <c r="I81" s="19"/>
      <c r="J81" s="19"/>
      <c r="K81" s="19"/>
      <c r="L81" s="19"/>
      <c r="M81" s="19"/>
      <c r="N81" s="17"/>
      <c r="O81" s="27" t="s">
        <v>645</v>
      </c>
      <c r="P81" s="50"/>
      <c r="Q81" s="50"/>
      <c r="R81" s="50"/>
      <c r="S81" s="50"/>
      <c r="T81" s="50"/>
      <c r="U81" s="50"/>
      <c r="V81" s="50"/>
      <c r="W81" s="50"/>
      <c r="X81" s="50"/>
      <c r="Y81" s="50"/>
      <c r="Z81" s="50"/>
      <c r="AA81" s="50">
        <v>73</v>
      </c>
      <c r="AB81" s="50">
        <v>136</v>
      </c>
      <c r="AC81" s="50">
        <v>2.4</v>
      </c>
      <c r="AD81" s="50">
        <f ca="1">VLOOKUP(O81,ProcChance,4,FALSE)*(WhiteMHConnects+YellowConnects)*(BaseDamage+NetAP/14*BaseSpeed)*2*WhiteHitMod</f>
        <v>29.862997499963861</v>
      </c>
      <c r="AE81" s="50"/>
      <c r="AF81" s="50" t="s">
        <v>428</v>
      </c>
      <c r="AG81" s="50">
        <f ca="1">VLOOKUP(O81,ProcChance,4,FALSE)*(WhiteMHConnects20+YellowConnects20)*(BaseDamage+NetAP20/14*BaseSpeed)*2*WhiteHitMod20</f>
        <v>39.143063441724024</v>
      </c>
      <c r="AH81" s="50"/>
      <c r="AI81" s="17"/>
      <c r="AJ81" s="17"/>
      <c r="AK81" s="17"/>
      <c r="AL81" s="17"/>
      <c r="AM81" s="17"/>
      <c r="AN81" s="17"/>
      <c r="AO81" s="17"/>
      <c r="AP81" s="17"/>
      <c r="AQ81" s="17"/>
      <c r="AR81" s="17"/>
      <c r="AS81" s="17"/>
      <c r="AT81" s="17"/>
      <c r="AU81" s="17"/>
      <c r="AV81" s="17"/>
      <c r="AW81" s="17"/>
      <c r="AX81" s="17"/>
      <c r="AY81" s="17"/>
    </row>
    <row r="82" spans="1:51" x14ac:dyDescent="0.2">
      <c r="A82" s="21" t="s">
        <v>200</v>
      </c>
      <c r="B82" s="20"/>
      <c r="C82" s="20"/>
      <c r="D82" s="20"/>
      <c r="E82" s="20"/>
      <c r="F82" s="20">
        <v>15</v>
      </c>
      <c r="G82" s="20">
        <v>20</v>
      </c>
      <c r="H82" s="20"/>
      <c r="I82" s="20"/>
      <c r="J82" s="20"/>
      <c r="K82" s="20">
        <v>45</v>
      </c>
      <c r="L82" s="20"/>
      <c r="M82" s="20"/>
      <c r="N82" s="17"/>
      <c r="O82" s="27" t="s">
        <v>323</v>
      </c>
      <c r="P82" s="50"/>
      <c r="Q82" s="50"/>
      <c r="R82" s="50">
        <v>13</v>
      </c>
      <c r="S82" s="50">
        <v>12</v>
      </c>
      <c r="T82" s="50"/>
      <c r="U82" s="50"/>
      <c r="V82" s="50"/>
      <c r="W82" s="50"/>
      <c r="X82" s="50"/>
      <c r="Y82" s="50">
        <v>90</v>
      </c>
      <c r="Z82" s="50"/>
      <c r="AA82" s="50">
        <v>69</v>
      </c>
      <c r="AB82" s="50">
        <v>130</v>
      </c>
      <c r="AC82" s="50">
        <v>1.9</v>
      </c>
      <c r="AD82" s="50"/>
      <c r="AE82" s="50"/>
      <c r="AF82" s="50" t="s">
        <v>428</v>
      </c>
      <c r="AG82" s="50"/>
      <c r="AH82" s="50"/>
      <c r="AI82" s="17"/>
      <c r="AJ82" s="17"/>
      <c r="AK82" s="17"/>
      <c r="AL82" s="17"/>
      <c r="AM82" s="17"/>
      <c r="AN82" s="17"/>
      <c r="AO82" s="17"/>
      <c r="AP82" s="17"/>
      <c r="AQ82" s="17"/>
      <c r="AR82" s="17"/>
      <c r="AS82" s="17"/>
      <c r="AT82" s="17"/>
      <c r="AU82" s="17"/>
      <c r="AV82" s="17"/>
      <c r="AW82" s="17"/>
      <c r="AX82" s="17"/>
      <c r="AY82" s="17"/>
    </row>
    <row r="83" spans="1:51" x14ac:dyDescent="0.2">
      <c r="A83" s="21" t="s">
        <v>16</v>
      </c>
      <c r="B83" s="20"/>
      <c r="C83" s="20">
        <v>1</v>
      </c>
      <c r="D83" s="20">
        <v>11</v>
      </c>
      <c r="E83" s="20">
        <v>15</v>
      </c>
      <c r="F83" s="20">
        <v>16</v>
      </c>
      <c r="G83" s="20"/>
      <c r="H83" s="20"/>
      <c r="I83" s="20"/>
      <c r="J83" s="20"/>
      <c r="K83" s="20">
        <v>56</v>
      </c>
      <c r="L83" s="20"/>
      <c r="M83" s="20"/>
      <c r="N83" s="17"/>
      <c r="O83" s="27" t="s">
        <v>785</v>
      </c>
      <c r="P83" s="50">
        <v>1</v>
      </c>
      <c r="Q83" s="50"/>
      <c r="R83" s="50"/>
      <c r="S83" s="50">
        <f>IF(Patch&lt;6,6,7)</f>
        <v>7</v>
      </c>
      <c r="T83" s="50"/>
      <c r="U83" s="50">
        <f>IF(Patch&lt;6,12,28)</f>
        <v>28</v>
      </c>
      <c r="V83" s="50"/>
      <c r="W83" s="50"/>
      <c r="X83" s="50"/>
      <c r="Y83" s="50"/>
      <c r="Z83" s="50"/>
      <c r="AA83" s="50">
        <f>IF(Patch&lt;6,115,138)</f>
        <v>138</v>
      </c>
      <c r="AB83" s="50">
        <f>IF(Patch&lt;6,173,207)</f>
        <v>207</v>
      </c>
      <c r="AC83" s="50">
        <v>2.9</v>
      </c>
      <c r="AD83" s="50"/>
      <c r="AE83" s="50"/>
      <c r="AF83" s="50" t="s">
        <v>428</v>
      </c>
      <c r="AG83" s="50"/>
      <c r="AH83" s="50"/>
      <c r="AI83" s="17"/>
      <c r="AJ83" s="17"/>
      <c r="AK83" s="17"/>
      <c r="AL83" s="17"/>
      <c r="AM83" s="17"/>
      <c r="AN83" s="17"/>
      <c r="AO83" s="17"/>
      <c r="AP83" s="17"/>
      <c r="AQ83" s="17"/>
      <c r="AR83" s="17"/>
      <c r="AS83" s="17"/>
      <c r="AT83" s="17"/>
      <c r="AU83" s="17"/>
      <c r="AV83" s="17"/>
      <c r="AW83" s="17"/>
      <c r="AX83" s="17"/>
      <c r="AY83" s="17"/>
    </row>
    <row r="84" spans="1:51" x14ac:dyDescent="0.2">
      <c r="A84" s="21" t="s">
        <v>195</v>
      </c>
      <c r="B84" s="20"/>
      <c r="C84" s="20"/>
      <c r="D84" s="20">
        <v>16</v>
      </c>
      <c r="E84" s="20">
        <v>4</v>
      </c>
      <c r="F84" s="20">
        <v>16</v>
      </c>
      <c r="G84" s="20"/>
      <c r="H84" s="20"/>
      <c r="I84" s="20"/>
      <c r="J84" s="20"/>
      <c r="K84" s="20">
        <v>54</v>
      </c>
      <c r="L84" s="20"/>
      <c r="M84" s="20"/>
      <c r="N84" s="17"/>
      <c r="O84" s="27" t="s">
        <v>330</v>
      </c>
      <c r="P84" s="50"/>
      <c r="Q84" s="50"/>
      <c r="R84" s="50">
        <v>10</v>
      </c>
      <c r="S84" s="50">
        <v>10</v>
      </c>
      <c r="T84" s="50"/>
      <c r="U84" s="50"/>
      <c r="V84" s="50"/>
      <c r="W84" s="50"/>
      <c r="X84" s="50"/>
      <c r="Y84" s="50"/>
      <c r="Z84" s="50"/>
      <c r="AA84" s="50">
        <v>80</v>
      </c>
      <c r="AB84" s="50">
        <v>149</v>
      </c>
      <c r="AC84" s="50">
        <v>2.8</v>
      </c>
      <c r="AD84" s="50"/>
      <c r="AE84" s="50"/>
      <c r="AF84" s="50" t="s">
        <v>428</v>
      </c>
      <c r="AG84" s="50"/>
      <c r="AH84" s="50"/>
      <c r="AI84" s="17"/>
      <c r="AJ84" s="17"/>
      <c r="AK84" s="17"/>
      <c r="AL84" s="17"/>
      <c r="AM84" s="17"/>
      <c r="AN84" s="17"/>
      <c r="AO84" s="17"/>
      <c r="AP84" s="17"/>
      <c r="AQ84" s="17"/>
      <c r="AR84" s="17"/>
      <c r="AS84" s="17"/>
      <c r="AT84" s="17"/>
      <c r="AU84" s="17"/>
      <c r="AV84" s="17"/>
      <c r="AW84" s="17"/>
      <c r="AX84" s="17"/>
      <c r="AY84" s="17"/>
    </row>
    <row r="85" spans="1:51" x14ac:dyDescent="0.2">
      <c r="A85" s="21" t="s">
        <v>189</v>
      </c>
      <c r="B85" s="20"/>
      <c r="C85" s="20"/>
      <c r="D85" s="20"/>
      <c r="E85" s="20">
        <v>12</v>
      </c>
      <c r="F85" s="20"/>
      <c r="G85" s="20">
        <v>50</v>
      </c>
      <c r="H85" s="20"/>
      <c r="I85" s="20"/>
      <c r="J85" s="20"/>
      <c r="K85" s="20">
        <v>57</v>
      </c>
      <c r="L85" s="20"/>
      <c r="M85" s="20"/>
      <c r="N85" s="17"/>
      <c r="O85" s="27" t="s">
        <v>1170</v>
      </c>
      <c r="P85" s="50"/>
      <c r="Q85" s="50"/>
      <c r="R85" s="50"/>
      <c r="S85" s="50"/>
      <c r="T85" s="50"/>
      <c r="U85" s="50"/>
      <c r="V85" s="50"/>
      <c r="W85" s="50"/>
      <c r="X85" s="50"/>
      <c r="Y85" s="50"/>
      <c r="Z85" s="50"/>
      <c r="AA85" s="50">
        <v>128</v>
      </c>
      <c r="AB85" s="50">
        <v>238</v>
      </c>
      <c r="AC85" s="50">
        <v>2.8</v>
      </c>
      <c r="AD85" s="50">
        <f ca="1">125*VLOOKUP(O85,ProcChance,4,FALSE)*0.8*(WhiteMHConnects+YellowConnects+WindfuryConnects+HoJConnects+SSConnects+WhiteOHConnects+IronfoeConnects)*IF(Spell_Crit&gt;0,1+1.5*Spell_Crit/100,1)</f>
        <v>22.193551585473454</v>
      </c>
      <c r="AE85" s="50">
        <f ca="1">125*VLOOKUP(O85,ProcChance,4,FALSE)*0.8*(WhiteMHConnects+YellowConnects+WindfuryConnects+HoJConnects+SSConnects+WhiteOHConnects+IronfoeConnects)*IF(Spell_Crit&gt;0,1+1.5*Spell_Crit/100,1)</f>
        <v>22.193551585473454</v>
      </c>
      <c r="AF85" s="50" t="s">
        <v>428</v>
      </c>
      <c r="AG85" s="50">
        <f ca="1">125*VLOOKUP(O85,ProcChance,4,FALSE)*0.8*(WhiteMHConnects20+YellowConnects20+WindfuryConnects20+HoJConnects20+SSConnects20+WhiteOHConnects20+IronfoeConnects20)*IF(Spell_Crit&gt;0,1+1.5*Spell_Crit/100,1)</f>
        <v>26.643360562746402</v>
      </c>
      <c r="AH85" s="50">
        <f ca="1">125*VLOOKUP(O85,ProcChance,4,FALSE)*0.8*(WhiteMHConnects20+YellowConnects20+WindfuryConnects20+HoJConnects20+SSConnects20+WhiteOHConnects20+IronfoeConnects20)*IF(Spell_Crit&gt;0,1+1.5*Spell_Crit/100,1)</f>
        <v>26.643360562746402</v>
      </c>
      <c r="AI85" s="17"/>
      <c r="AJ85" s="17"/>
      <c r="AK85" s="17"/>
      <c r="AL85" s="17"/>
      <c r="AM85" s="17"/>
      <c r="AN85" s="17"/>
      <c r="AO85" s="17"/>
      <c r="AP85" s="17"/>
      <c r="AQ85" s="17"/>
      <c r="AR85" s="17"/>
      <c r="AS85" s="17"/>
      <c r="AT85" s="17"/>
      <c r="AU85" s="17"/>
      <c r="AV85" s="17"/>
      <c r="AW85" s="17"/>
      <c r="AX85" s="17"/>
      <c r="AY85" s="17"/>
    </row>
    <row r="86" spans="1:51" x14ac:dyDescent="0.2">
      <c r="A86" s="21" t="s">
        <v>187</v>
      </c>
      <c r="B86" s="20"/>
      <c r="C86" s="20"/>
      <c r="D86" s="20">
        <v>11</v>
      </c>
      <c r="E86" s="20">
        <v>15</v>
      </c>
      <c r="F86" s="20">
        <v>26</v>
      </c>
      <c r="G86" s="20"/>
      <c r="H86" s="20"/>
      <c r="I86" s="20"/>
      <c r="J86" s="20"/>
      <c r="K86" s="20">
        <v>66</v>
      </c>
      <c r="L86" s="20"/>
      <c r="M86" s="20"/>
      <c r="N86" s="17"/>
      <c r="O86" s="27" t="s">
        <v>329</v>
      </c>
      <c r="P86" s="50">
        <v>1</v>
      </c>
      <c r="Q86" s="50">
        <v>1</v>
      </c>
      <c r="R86" s="50"/>
      <c r="S86" s="50"/>
      <c r="T86" s="50"/>
      <c r="U86" s="50"/>
      <c r="V86" s="50"/>
      <c r="W86" s="50"/>
      <c r="X86" s="50"/>
      <c r="Y86" s="50"/>
      <c r="Z86" s="50"/>
      <c r="AA86" s="50">
        <v>86</v>
      </c>
      <c r="AB86" s="50">
        <v>161</v>
      </c>
      <c r="AC86" s="50">
        <v>2.7</v>
      </c>
      <c r="AD86" s="50"/>
      <c r="AE86" s="50"/>
      <c r="AF86" s="50" t="s">
        <v>428</v>
      </c>
      <c r="AG86" s="50"/>
      <c r="AH86" s="50"/>
      <c r="AI86" s="17"/>
      <c r="AJ86" s="17"/>
      <c r="AK86" s="17"/>
      <c r="AL86" s="17"/>
      <c r="AM86" s="17"/>
      <c r="AN86" s="17"/>
      <c r="AO86" s="17"/>
      <c r="AP86" s="17"/>
      <c r="AQ86" s="17"/>
      <c r="AR86" s="17"/>
      <c r="AS86" s="17"/>
      <c r="AT86" s="17"/>
      <c r="AU86" s="17"/>
      <c r="AV86" s="17"/>
      <c r="AW86" s="17"/>
      <c r="AX86" s="17"/>
      <c r="AY86" s="17"/>
    </row>
    <row r="87" spans="1:51" x14ac:dyDescent="0.2">
      <c r="A87" s="21" t="s">
        <v>188</v>
      </c>
      <c r="B87" s="20"/>
      <c r="C87" s="20"/>
      <c r="D87" s="20">
        <v>13</v>
      </c>
      <c r="E87" s="20">
        <v>19</v>
      </c>
      <c r="F87" s="20">
        <v>10</v>
      </c>
      <c r="G87" s="20"/>
      <c r="H87" s="20"/>
      <c r="I87" s="20"/>
      <c r="J87" s="20">
        <v>6</v>
      </c>
      <c r="K87" s="20">
        <v>59</v>
      </c>
      <c r="L87" s="20"/>
      <c r="M87" s="20"/>
      <c r="N87" s="17"/>
      <c r="O87" s="27" t="s">
        <v>322</v>
      </c>
      <c r="P87" s="50">
        <v>1</v>
      </c>
      <c r="Q87" s="50"/>
      <c r="R87" s="50"/>
      <c r="S87" s="50">
        <v>9</v>
      </c>
      <c r="T87" s="50"/>
      <c r="U87" s="50">
        <v>20</v>
      </c>
      <c r="V87" s="50"/>
      <c r="W87" s="50"/>
      <c r="X87" s="50"/>
      <c r="Y87" s="50"/>
      <c r="Z87" s="50"/>
      <c r="AA87" s="50">
        <v>97</v>
      </c>
      <c r="AB87" s="50">
        <v>181</v>
      </c>
      <c r="AC87" s="50">
        <v>2.6</v>
      </c>
      <c r="AD87" s="50"/>
      <c r="AE87" s="50"/>
      <c r="AF87" s="50" t="s">
        <v>428</v>
      </c>
      <c r="AG87" s="50"/>
      <c r="AH87" s="50"/>
      <c r="AI87" s="17"/>
      <c r="AJ87" s="17"/>
      <c r="AK87" s="17"/>
      <c r="AL87" s="17"/>
      <c r="AM87" s="17"/>
      <c r="AN87" s="17"/>
      <c r="AO87" s="17"/>
      <c r="AP87" s="17"/>
      <c r="AQ87" s="17"/>
      <c r="AR87" s="17"/>
      <c r="AS87" s="17"/>
      <c r="AT87" s="17"/>
      <c r="AU87" s="17"/>
      <c r="AV87" s="17"/>
      <c r="AW87" s="17"/>
      <c r="AX87" s="17"/>
      <c r="AY87" s="17"/>
    </row>
    <row r="88" spans="1:51" x14ac:dyDescent="0.2">
      <c r="A88" s="21" t="s">
        <v>198</v>
      </c>
      <c r="B88" s="20"/>
      <c r="C88" s="20"/>
      <c r="D88" s="20"/>
      <c r="E88" s="20">
        <v>11</v>
      </c>
      <c r="F88" s="20">
        <v>5</v>
      </c>
      <c r="G88" s="20">
        <v>34</v>
      </c>
      <c r="H88" s="20"/>
      <c r="I88" s="20"/>
      <c r="J88" s="20"/>
      <c r="K88" s="20">
        <v>50</v>
      </c>
      <c r="L88" s="20"/>
      <c r="M88" s="20"/>
      <c r="N88" s="17"/>
      <c r="O88" s="27" t="s">
        <v>328</v>
      </c>
      <c r="P88" s="50"/>
      <c r="Q88" s="50"/>
      <c r="R88" s="50"/>
      <c r="S88" s="50"/>
      <c r="T88" s="50"/>
      <c r="U88" s="50"/>
      <c r="V88" s="50"/>
      <c r="W88" s="50"/>
      <c r="X88" s="50"/>
      <c r="Y88" s="50"/>
      <c r="Z88" s="50">
        <v>2</v>
      </c>
      <c r="AA88" s="50">
        <v>77</v>
      </c>
      <c r="AB88" s="50">
        <v>145</v>
      </c>
      <c r="AC88" s="50">
        <v>2.6</v>
      </c>
      <c r="AD88" s="50">
        <f ca="1">78*VLOOKUP(O88,ProcChance,4,FALSE)*0.8*(WhiteMHConnects+YellowConnects+WindfuryConnects+HoJConnects)*IF(Spell_Crit&gt;0,1+1.5*Spell_Crit/100,1)</f>
        <v>3.5962853056998787</v>
      </c>
      <c r="AE88" s="50">
        <f ca="1">78*VLOOKUP(O88,ProcChance,4,FALSE)*0.8*WhiteOHConnects*IF(Spell_Crit&gt;0,1+1.5*Spell_Crit/100,1)</f>
        <v>1.9761984466755707</v>
      </c>
      <c r="AF88" s="50" t="s">
        <v>428</v>
      </c>
      <c r="AG88" s="50">
        <f ca="1">78*VLOOKUP(O88,ProcChance,4,FALSE)*0.8*(WhiteMHConnects20+YellowConnects20+WindfuryConnects20+HoJConnects20)*IF(Spell_Crit&gt;0,1+1.5*Spell_Crit/100,1)</f>
        <v>4.6879341248504316</v>
      </c>
      <c r="AH88" s="50">
        <f ca="1">78*VLOOKUP(O88,ProcChance,4,FALSE)*0.8*WhiteOHConnects20*IF(Spell_Crit&gt;0,1+1.5*Spell_Crit/100,1)</f>
        <v>2.001833093018579</v>
      </c>
      <c r="AI88" s="17"/>
      <c r="AJ88" s="17"/>
      <c r="AK88" s="17"/>
      <c r="AL88" s="17"/>
      <c r="AM88" s="17"/>
      <c r="AN88" s="17"/>
      <c r="AO88" s="17"/>
      <c r="AP88" s="17"/>
      <c r="AQ88" s="17"/>
      <c r="AR88" s="17"/>
      <c r="AS88" s="17"/>
      <c r="AT88" s="17"/>
      <c r="AU88" s="17"/>
      <c r="AV88" s="17"/>
      <c r="AW88" s="17"/>
      <c r="AX88" s="17"/>
      <c r="AY88" s="17"/>
    </row>
    <row r="89" spans="1:51" x14ac:dyDescent="0.2">
      <c r="A89" s="21" t="s">
        <v>400</v>
      </c>
      <c r="B89" s="20"/>
      <c r="C89" s="20">
        <v>1</v>
      </c>
      <c r="D89" s="20"/>
      <c r="E89" s="20">
        <v>23</v>
      </c>
      <c r="F89" s="20"/>
      <c r="G89" s="20">
        <v>30</v>
      </c>
      <c r="H89" s="20"/>
      <c r="I89" s="20"/>
      <c r="J89" s="20"/>
      <c r="K89" s="20">
        <v>63</v>
      </c>
      <c r="L89" s="20"/>
      <c r="M89" s="20"/>
      <c r="N89" s="17"/>
      <c r="O89" s="27" t="s">
        <v>321</v>
      </c>
      <c r="P89" s="50"/>
      <c r="Q89" s="50"/>
      <c r="R89" s="50">
        <v>9</v>
      </c>
      <c r="S89" s="50">
        <v>16</v>
      </c>
      <c r="T89" s="50"/>
      <c r="U89" s="50"/>
      <c r="V89" s="50"/>
      <c r="W89" s="50"/>
      <c r="X89" s="50">
        <v>5</v>
      </c>
      <c r="Y89" s="50"/>
      <c r="Z89" s="50"/>
      <c r="AA89" s="50">
        <v>99</v>
      </c>
      <c r="AB89" s="50">
        <v>184</v>
      </c>
      <c r="AC89" s="50">
        <v>2.6</v>
      </c>
      <c r="AD89" s="50"/>
      <c r="AE89" s="50"/>
      <c r="AF89" s="50" t="s">
        <v>428</v>
      </c>
      <c r="AG89" s="50"/>
      <c r="AH89" s="50"/>
      <c r="AI89" s="17"/>
      <c r="AJ89" s="17"/>
      <c r="AK89" s="17"/>
      <c r="AL89" s="17"/>
      <c r="AM89" s="17"/>
      <c r="AN89" s="17"/>
      <c r="AO89" s="17"/>
      <c r="AP89" s="17"/>
      <c r="AQ89" s="17"/>
      <c r="AR89" s="17"/>
      <c r="AS89" s="17"/>
      <c r="AT89" s="17"/>
      <c r="AU89" s="17"/>
      <c r="AV89" s="17"/>
      <c r="AW89" s="17"/>
      <c r="AX89" s="17"/>
      <c r="AY89" s="17"/>
    </row>
    <row r="90" spans="1:51" x14ac:dyDescent="0.2">
      <c r="A90" s="21" t="s">
        <v>190</v>
      </c>
      <c r="B90" s="20"/>
      <c r="C90" s="20"/>
      <c r="D90" s="20"/>
      <c r="E90" s="20">
        <v>12</v>
      </c>
      <c r="F90" s="20">
        <v>22</v>
      </c>
      <c r="G90" s="20"/>
      <c r="H90" s="20"/>
      <c r="I90" s="20"/>
      <c r="J90" s="20"/>
      <c r="K90" s="20">
        <v>57</v>
      </c>
      <c r="L90" s="20"/>
      <c r="M90" s="20"/>
      <c r="N90" s="17"/>
      <c r="O90" s="27" t="s">
        <v>327</v>
      </c>
      <c r="P90" s="50"/>
      <c r="Q90" s="50"/>
      <c r="R90" s="50">
        <v>15</v>
      </c>
      <c r="S90" s="50"/>
      <c r="T90" s="50"/>
      <c r="U90" s="50"/>
      <c r="V90" s="50"/>
      <c r="W90" s="50"/>
      <c r="X90" s="50"/>
      <c r="Y90" s="50"/>
      <c r="Z90" s="50"/>
      <c r="AA90" s="50">
        <v>80</v>
      </c>
      <c r="AB90" s="50">
        <v>150</v>
      </c>
      <c r="AC90" s="50">
        <v>2.7</v>
      </c>
      <c r="AD90" s="50"/>
      <c r="AE90" s="50"/>
      <c r="AF90" s="50" t="s">
        <v>428</v>
      </c>
      <c r="AG90" s="50"/>
      <c r="AH90" s="50"/>
      <c r="AI90" s="17"/>
      <c r="AJ90" s="17"/>
      <c r="AK90" s="17"/>
      <c r="AL90" s="17"/>
      <c r="AM90" s="17"/>
      <c r="AN90" s="17"/>
      <c r="AO90" s="17"/>
      <c r="AP90" s="17"/>
      <c r="AQ90" s="17"/>
      <c r="AR90" s="17"/>
      <c r="AS90" s="17"/>
      <c r="AT90" s="17"/>
      <c r="AU90" s="17"/>
      <c r="AV90" s="17"/>
      <c r="AW90" s="17"/>
      <c r="AX90" s="17"/>
      <c r="AY90" s="17"/>
    </row>
    <row r="91" spans="1:51" x14ac:dyDescent="0.2">
      <c r="A91" s="21" t="s">
        <v>191</v>
      </c>
      <c r="B91" s="20"/>
      <c r="C91" s="20"/>
      <c r="D91" s="20">
        <v>9</v>
      </c>
      <c r="E91" s="20">
        <v>22</v>
      </c>
      <c r="F91" s="20"/>
      <c r="G91" s="20"/>
      <c r="H91" s="20"/>
      <c r="I91" s="20"/>
      <c r="J91" s="20"/>
      <c r="K91" s="20">
        <v>116</v>
      </c>
      <c r="L91" s="20"/>
      <c r="M91" s="20"/>
      <c r="N91" s="17"/>
      <c r="O91" s="27" t="s">
        <v>1171</v>
      </c>
      <c r="P91" s="50">
        <v>1</v>
      </c>
      <c r="Q91" s="50">
        <v>1</v>
      </c>
      <c r="R91" s="50"/>
      <c r="S91" s="50">
        <v>9</v>
      </c>
      <c r="T91" s="50"/>
      <c r="U91" s="50">
        <v>16</v>
      </c>
      <c r="V91" s="50"/>
      <c r="W91" s="50"/>
      <c r="X91" s="50"/>
      <c r="Y91" s="50"/>
      <c r="Z91" s="50"/>
      <c r="AA91" s="50">
        <v>119</v>
      </c>
      <c r="AB91" s="50">
        <v>221</v>
      </c>
      <c r="AC91" s="50">
        <v>2.6</v>
      </c>
      <c r="AD91" s="50"/>
      <c r="AE91" s="50"/>
      <c r="AF91" s="50" t="s">
        <v>428</v>
      </c>
      <c r="AG91" s="50"/>
      <c r="AH91" s="50"/>
      <c r="AI91" s="17"/>
      <c r="AJ91" s="17"/>
      <c r="AK91" s="17"/>
      <c r="AL91" s="17"/>
      <c r="AM91" s="17"/>
      <c r="AN91" s="17"/>
      <c r="AO91" s="17"/>
      <c r="AP91" s="17"/>
      <c r="AQ91" s="17"/>
      <c r="AR91" s="17"/>
      <c r="AS91" s="17"/>
      <c r="AT91" s="17"/>
      <c r="AU91" s="17"/>
      <c r="AV91" s="17"/>
      <c r="AW91" s="17"/>
      <c r="AX91" s="17"/>
      <c r="AY91" s="17"/>
    </row>
    <row r="92" spans="1:51" x14ac:dyDescent="0.2">
      <c r="A92" s="21" t="s">
        <v>193</v>
      </c>
      <c r="B92" s="20"/>
      <c r="C92" s="20">
        <f>IF(Patch&lt;11,0,1)</f>
        <v>1</v>
      </c>
      <c r="D92" s="20">
        <v>15</v>
      </c>
      <c r="E92" s="20">
        <f>IF(Patch&lt;11,8,9)</f>
        <v>9</v>
      </c>
      <c r="F92" s="20">
        <v>9</v>
      </c>
      <c r="G92" s="20"/>
      <c r="H92" s="20"/>
      <c r="I92" s="20"/>
      <c r="J92" s="20"/>
      <c r="K92" s="20">
        <v>52</v>
      </c>
      <c r="L92" s="20"/>
      <c r="M92" s="20"/>
      <c r="N92" s="17"/>
      <c r="O92" s="29" t="s">
        <v>331</v>
      </c>
      <c r="P92" s="51"/>
      <c r="Q92" s="51"/>
      <c r="R92" s="51">
        <v>7</v>
      </c>
      <c r="S92" s="51">
        <v>11</v>
      </c>
      <c r="T92" s="51"/>
      <c r="U92" s="51"/>
      <c r="V92" s="51"/>
      <c r="W92" s="51"/>
      <c r="X92" s="51"/>
      <c r="Y92" s="51">
        <v>120</v>
      </c>
      <c r="Z92" s="51"/>
      <c r="AA92" s="51">
        <v>62</v>
      </c>
      <c r="AB92" s="51">
        <v>117</v>
      </c>
      <c r="AC92" s="51">
        <v>2.2000000000000002</v>
      </c>
      <c r="AD92" s="51"/>
      <c r="AE92" s="51"/>
      <c r="AF92" s="51" t="s">
        <v>428</v>
      </c>
      <c r="AG92" s="51"/>
      <c r="AH92" s="51"/>
      <c r="AI92" s="17"/>
      <c r="AJ92" s="17"/>
      <c r="AK92" s="17"/>
      <c r="AL92" s="17"/>
      <c r="AM92" s="17"/>
      <c r="AN92" s="17"/>
      <c r="AO92" s="17"/>
      <c r="AP92" s="17"/>
      <c r="AQ92" s="17"/>
      <c r="AR92" s="17"/>
      <c r="AS92" s="17"/>
      <c r="AT92" s="17"/>
      <c r="AU92" s="17"/>
      <c r="AV92" s="17"/>
      <c r="AW92" s="17"/>
      <c r="AX92" s="17"/>
      <c r="AY92" s="17"/>
    </row>
    <row r="93" spans="1:51" x14ac:dyDescent="0.2">
      <c r="A93" s="21" t="s">
        <v>1230</v>
      </c>
      <c r="B93" s="20"/>
      <c r="C93" s="20">
        <v>1</v>
      </c>
      <c r="D93" s="20"/>
      <c r="E93" s="20"/>
      <c r="F93" s="20">
        <v>15</v>
      </c>
      <c r="G93" s="20"/>
      <c r="H93" s="20"/>
      <c r="I93" s="20"/>
      <c r="J93" s="20"/>
      <c r="K93" s="20">
        <v>44</v>
      </c>
      <c r="L93" s="20"/>
      <c r="M93" s="20"/>
      <c r="N93" s="17"/>
      <c r="O93" s="39" t="s">
        <v>1026</v>
      </c>
      <c r="P93" s="31"/>
      <c r="Q93" s="31"/>
      <c r="R93" s="31"/>
      <c r="S93" s="31"/>
      <c r="T93" s="31"/>
      <c r="U93" s="31"/>
      <c r="V93" s="31"/>
      <c r="W93" s="31"/>
      <c r="X93" s="31"/>
      <c r="Y93" s="31"/>
      <c r="Z93" s="31"/>
      <c r="AA93" s="31"/>
      <c r="AB93" s="31"/>
      <c r="AC93" s="31"/>
      <c r="AD93" s="31"/>
      <c r="AE93" s="31"/>
      <c r="AF93" s="31"/>
      <c r="AG93" s="31"/>
      <c r="AH93" s="32"/>
      <c r="AI93" s="17"/>
      <c r="AJ93" s="17"/>
      <c r="AK93" s="17"/>
      <c r="AL93" s="17"/>
      <c r="AM93" s="17"/>
      <c r="AN93" s="17"/>
      <c r="AO93" s="17"/>
      <c r="AP93" s="17"/>
      <c r="AQ93" s="17"/>
      <c r="AR93" s="17"/>
      <c r="AS93" s="17"/>
      <c r="AT93" s="17"/>
      <c r="AU93" s="17"/>
      <c r="AV93" s="17"/>
      <c r="AW93" s="17"/>
      <c r="AX93" s="17"/>
      <c r="AY93" s="17"/>
    </row>
    <row r="94" spans="1:51" x14ac:dyDescent="0.2">
      <c r="A94" s="21" t="s">
        <v>197</v>
      </c>
      <c r="B94" s="20">
        <v>1</v>
      </c>
      <c r="C94" s="20"/>
      <c r="D94" s="20"/>
      <c r="E94" s="20">
        <v>20</v>
      </c>
      <c r="F94" s="20"/>
      <c r="G94" s="20"/>
      <c r="H94" s="20"/>
      <c r="I94" s="20"/>
      <c r="J94" s="20"/>
      <c r="K94" s="20">
        <v>51</v>
      </c>
      <c r="L94" s="20"/>
      <c r="M94" s="20"/>
      <c r="N94" s="17"/>
      <c r="O94" s="33" t="s">
        <v>362</v>
      </c>
      <c r="P94" s="34"/>
      <c r="Q94" s="34"/>
      <c r="R94" s="34"/>
      <c r="S94" s="34"/>
      <c r="T94" s="34"/>
      <c r="U94" s="34"/>
      <c r="V94" s="34"/>
      <c r="W94" s="34"/>
      <c r="X94" s="34"/>
      <c r="Y94" s="34"/>
      <c r="Z94" s="34"/>
      <c r="AA94" s="34"/>
      <c r="AB94" s="34"/>
      <c r="AC94" s="34"/>
      <c r="AD94" s="34"/>
      <c r="AE94" s="34"/>
      <c r="AF94" s="34"/>
      <c r="AG94" s="34"/>
      <c r="AH94" s="35"/>
      <c r="AI94" s="17"/>
      <c r="AJ94" s="17"/>
      <c r="AK94" s="17"/>
      <c r="AL94" s="17"/>
      <c r="AM94" s="17"/>
      <c r="AN94" s="17"/>
      <c r="AO94" s="17"/>
      <c r="AP94" s="17"/>
      <c r="AQ94" s="17"/>
      <c r="AR94" s="17"/>
      <c r="AS94" s="17"/>
      <c r="AT94" s="17"/>
      <c r="AU94" s="17"/>
      <c r="AV94" s="17"/>
      <c r="AW94" s="17"/>
      <c r="AX94" s="17"/>
      <c r="AY94" s="17"/>
    </row>
    <row r="95" spans="1:51" x14ac:dyDescent="0.2">
      <c r="A95" s="21" t="s">
        <v>203</v>
      </c>
      <c r="B95" s="20"/>
      <c r="C95" s="20"/>
      <c r="D95" s="20"/>
      <c r="E95" s="20">
        <v>7</v>
      </c>
      <c r="F95" s="20"/>
      <c r="G95" s="20"/>
      <c r="H95" s="20"/>
      <c r="I95" s="20"/>
      <c r="J95" s="20"/>
      <c r="K95" s="20">
        <v>43</v>
      </c>
      <c r="L95" s="20"/>
      <c r="M95" s="20"/>
      <c r="N95" s="17"/>
      <c r="O95" s="36" t="s">
        <v>1026</v>
      </c>
      <c r="P95" s="37"/>
      <c r="Q95" s="37"/>
      <c r="R95" s="37"/>
      <c r="S95" s="37"/>
      <c r="T95" s="37"/>
      <c r="U95" s="37"/>
      <c r="V95" s="37"/>
      <c r="W95" s="37"/>
      <c r="X95" s="37"/>
      <c r="Y95" s="37"/>
      <c r="Z95" s="37"/>
      <c r="AA95" s="37"/>
      <c r="AB95" s="37"/>
      <c r="AC95" s="37"/>
      <c r="AD95" s="37"/>
      <c r="AE95" s="37"/>
      <c r="AF95" s="37"/>
      <c r="AG95" s="37"/>
      <c r="AH95" s="38"/>
      <c r="AI95" s="17"/>
      <c r="AJ95" s="17"/>
      <c r="AK95" s="17"/>
      <c r="AL95" s="17"/>
      <c r="AM95" s="17"/>
      <c r="AN95" s="17"/>
      <c r="AO95" s="17"/>
      <c r="AP95" s="17"/>
      <c r="AQ95" s="17"/>
      <c r="AR95" s="17"/>
      <c r="AS95" s="17"/>
      <c r="AT95" s="17"/>
      <c r="AU95" s="17"/>
      <c r="AV95" s="17"/>
      <c r="AW95" s="17"/>
      <c r="AX95" s="17"/>
      <c r="AY95" s="17"/>
    </row>
    <row r="96" spans="1:51" x14ac:dyDescent="0.2">
      <c r="A96" s="21" t="s">
        <v>201</v>
      </c>
      <c r="B96" s="20"/>
      <c r="C96" s="20"/>
      <c r="D96" s="20">
        <v>12</v>
      </c>
      <c r="E96" s="20">
        <v>11</v>
      </c>
      <c r="F96" s="20"/>
      <c r="G96" s="20"/>
      <c r="H96" s="20"/>
      <c r="I96" s="20"/>
      <c r="J96" s="20"/>
      <c r="K96" s="20">
        <v>114</v>
      </c>
      <c r="L96" s="20"/>
      <c r="M96" s="20"/>
      <c r="N96" s="17"/>
      <c r="O96" s="28" t="s">
        <v>342</v>
      </c>
      <c r="P96" s="52">
        <v>1</v>
      </c>
      <c r="Q96" s="52"/>
      <c r="R96" s="52"/>
      <c r="S96" s="52">
        <v>11</v>
      </c>
      <c r="T96" s="52"/>
      <c r="U96" s="52">
        <v>20</v>
      </c>
      <c r="V96" s="52"/>
      <c r="W96" s="52"/>
      <c r="X96" s="52"/>
      <c r="Y96" s="52"/>
      <c r="Z96" s="52"/>
      <c r="AA96" s="52">
        <v>114</v>
      </c>
      <c r="AB96" s="52">
        <v>214</v>
      </c>
      <c r="AC96" s="52">
        <v>2.8</v>
      </c>
      <c r="AD96" s="52"/>
      <c r="AE96" s="52"/>
      <c r="AF96" s="52" t="s">
        <v>451</v>
      </c>
      <c r="AG96" s="52"/>
      <c r="AH96" s="52"/>
      <c r="AI96" s="17"/>
      <c r="AJ96" s="17"/>
      <c r="AK96" s="17"/>
      <c r="AL96" s="17"/>
      <c r="AM96" s="17"/>
      <c r="AN96" s="17"/>
      <c r="AO96" s="17"/>
      <c r="AP96" s="17"/>
      <c r="AQ96" s="17"/>
      <c r="AR96" s="17"/>
      <c r="AS96" s="17"/>
      <c r="AT96" s="17"/>
      <c r="AU96" s="17"/>
      <c r="AV96" s="17"/>
      <c r="AW96" s="17"/>
      <c r="AX96" s="17"/>
      <c r="AY96" s="17"/>
    </row>
    <row r="97" spans="1:51" x14ac:dyDescent="0.2">
      <c r="A97" s="21" t="s">
        <v>194</v>
      </c>
      <c r="B97" s="20"/>
      <c r="C97" s="20">
        <v>1</v>
      </c>
      <c r="D97" s="20"/>
      <c r="E97" s="20">
        <v>12</v>
      </c>
      <c r="F97" s="20"/>
      <c r="G97" s="20">
        <v>40</v>
      </c>
      <c r="H97" s="20"/>
      <c r="I97" s="20"/>
      <c r="J97" s="20"/>
      <c r="K97" s="20">
        <v>54</v>
      </c>
      <c r="L97" s="20"/>
      <c r="M97" s="20"/>
      <c r="N97" s="17"/>
      <c r="O97" s="27" t="s">
        <v>870</v>
      </c>
      <c r="P97" s="50"/>
      <c r="Q97" s="50"/>
      <c r="R97" s="50"/>
      <c r="S97" s="50">
        <v>9</v>
      </c>
      <c r="T97" s="50"/>
      <c r="U97" s="50"/>
      <c r="V97" s="50"/>
      <c r="W97" s="50">
        <v>1</v>
      </c>
      <c r="X97" s="50"/>
      <c r="Y97" s="50"/>
      <c r="Z97" s="50"/>
      <c r="AA97" s="50">
        <v>65</v>
      </c>
      <c r="AB97" s="50">
        <v>121</v>
      </c>
      <c r="AC97" s="50">
        <v>1.8</v>
      </c>
      <c r="AD97" s="50"/>
      <c r="AE97" s="50"/>
      <c r="AF97" s="50" t="s">
        <v>451</v>
      </c>
      <c r="AG97" s="50"/>
      <c r="AH97" s="50"/>
      <c r="AI97" s="17"/>
      <c r="AJ97" s="17"/>
      <c r="AK97" s="17"/>
      <c r="AL97" s="17"/>
      <c r="AM97" s="17"/>
      <c r="AN97" s="17"/>
      <c r="AO97" s="17"/>
      <c r="AP97" s="17"/>
      <c r="AQ97" s="17"/>
      <c r="AR97" s="17"/>
      <c r="AS97" s="17"/>
      <c r="AT97" s="17"/>
      <c r="AU97" s="17"/>
      <c r="AV97" s="17"/>
      <c r="AW97" s="17"/>
      <c r="AX97" s="17"/>
      <c r="AY97" s="17"/>
    </row>
    <row r="98" spans="1:51" x14ac:dyDescent="0.2">
      <c r="A98" s="21" t="s">
        <v>192</v>
      </c>
      <c r="B98" s="20"/>
      <c r="C98" s="20"/>
      <c r="D98" s="20">
        <v>12</v>
      </c>
      <c r="E98" s="20">
        <v>12</v>
      </c>
      <c r="F98" s="20"/>
      <c r="G98" s="20"/>
      <c r="H98" s="20">
        <v>1</v>
      </c>
      <c r="I98" s="20"/>
      <c r="J98" s="20">
        <v>6</v>
      </c>
      <c r="K98" s="20">
        <v>135</v>
      </c>
      <c r="L98" s="20"/>
      <c r="M98" s="20"/>
      <c r="N98" s="17"/>
      <c r="O98" s="27" t="s">
        <v>352</v>
      </c>
      <c r="P98" s="50"/>
      <c r="Q98" s="50"/>
      <c r="R98" s="50"/>
      <c r="S98" s="50">
        <v>15</v>
      </c>
      <c r="T98" s="50"/>
      <c r="U98" s="50"/>
      <c r="V98" s="50"/>
      <c r="W98" s="50"/>
      <c r="X98" s="50">
        <v>4</v>
      </c>
      <c r="Y98" s="50">
        <v>80</v>
      </c>
      <c r="Z98" s="50"/>
      <c r="AA98" s="50">
        <v>64</v>
      </c>
      <c r="AB98" s="50">
        <v>119</v>
      </c>
      <c r="AC98" s="50">
        <v>1.9</v>
      </c>
      <c r="AD98" s="50"/>
      <c r="AE98" s="50"/>
      <c r="AF98" s="50" t="s">
        <v>451</v>
      </c>
      <c r="AG98" s="50"/>
      <c r="AH98" s="50"/>
      <c r="AI98" s="17"/>
      <c r="AJ98" s="17"/>
      <c r="AK98" s="17"/>
      <c r="AL98" s="17"/>
      <c r="AM98" s="17"/>
      <c r="AN98" s="17"/>
      <c r="AO98" s="17"/>
      <c r="AP98" s="17"/>
      <c r="AQ98" s="17"/>
      <c r="AR98" s="17"/>
      <c r="AS98" s="17"/>
      <c r="AT98" s="17"/>
      <c r="AU98" s="17"/>
      <c r="AV98" s="17"/>
      <c r="AW98" s="17"/>
      <c r="AX98" s="17"/>
      <c r="AY98" s="17"/>
    </row>
    <row r="99" spans="1:51" x14ac:dyDescent="0.2">
      <c r="A99" s="21" t="s">
        <v>1187</v>
      </c>
      <c r="B99" s="20">
        <v>1</v>
      </c>
      <c r="C99" s="20"/>
      <c r="D99" s="20"/>
      <c r="E99" s="20">
        <v>11</v>
      </c>
      <c r="F99" s="20"/>
      <c r="G99" s="20">
        <v>50</v>
      </c>
      <c r="H99" s="20"/>
      <c r="I99" s="20"/>
      <c r="J99" s="20"/>
      <c r="K99" s="20">
        <v>68</v>
      </c>
      <c r="L99" s="20"/>
      <c r="M99" s="20"/>
      <c r="N99" s="17"/>
      <c r="O99" s="27" t="s">
        <v>348</v>
      </c>
      <c r="P99" s="50">
        <v>1</v>
      </c>
      <c r="Q99" s="50"/>
      <c r="R99" s="50">
        <v>9</v>
      </c>
      <c r="S99" s="50"/>
      <c r="T99" s="50">
        <v>9</v>
      </c>
      <c r="U99" s="50"/>
      <c r="V99" s="50"/>
      <c r="W99" s="50"/>
      <c r="X99" s="50"/>
      <c r="Y99" s="50"/>
      <c r="Z99" s="50"/>
      <c r="AA99" s="50">
        <v>90</v>
      </c>
      <c r="AB99" s="50">
        <v>168</v>
      </c>
      <c r="AC99" s="50">
        <v>2.5</v>
      </c>
      <c r="AD99" s="50"/>
      <c r="AE99" s="50"/>
      <c r="AF99" s="50" t="s">
        <v>451</v>
      </c>
      <c r="AG99" s="50"/>
      <c r="AH99" s="50"/>
      <c r="AI99" s="17"/>
      <c r="AJ99" s="17"/>
      <c r="AK99" s="17"/>
      <c r="AL99" s="17"/>
      <c r="AM99" s="17"/>
      <c r="AN99" s="17"/>
      <c r="AO99" s="17"/>
      <c r="AP99" s="17"/>
      <c r="AQ99" s="17"/>
      <c r="AR99" s="17"/>
      <c r="AS99" s="17"/>
      <c r="AT99" s="17"/>
      <c r="AU99" s="17"/>
      <c r="AV99" s="17"/>
      <c r="AW99" s="17"/>
      <c r="AX99" s="17"/>
      <c r="AY99" s="17"/>
    </row>
    <row r="100" spans="1:51" x14ac:dyDescent="0.2">
      <c r="A100" s="21" t="s">
        <v>202</v>
      </c>
      <c r="B100" s="20"/>
      <c r="C100" s="20"/>
      <c r="D100" s="20">
        <v>7</v>
      </c>
      <c r="E100" s="20">
        <v>14</v>
      </c>
      <c r="F100" s="20">
        <v>8</v>
      </c>
      <c r="G100" s="20"/>
      <c r="H100" s="20"/>
      <c r="I100" s="20"/>
      <c r="J100" s="20"/>
      <c r="K100" s="20">
        <v>43</v>
      </c>
      <c r="L100" s="20"/>
      <c r="M100" s="20"/>
      <c r="N100" s="17"/>
      <c r="O100" s="27" t="s">
        <v>360</v>
      </c>
      <c r="P100" s="50"/>
      <c r="Q100" s="50"/>
      <c r="R100" s="50"/>
      <c r="S100" s="50"/>
      <c r="T100" s="50"/>
      <c r="U100" s="50">
        <v>28</v>
      </c>
      <c r="V100" s="50"/>
      <c r="W100" s="50"/>
      <c r="X100" s="50"/>
      <c r="Y100" s="50"/>
      <c r="Z100" s="50"/>
      <c r="AA100" s="50">
        <v>67</v>
      </c>
      <c r="AB100" s="50">
        <v>125</v>
      </c>
      <c r="AC100" s="50">
        <v>2.4</v>
      </c>
      <c r="AD100" s="50"/>
      <c r="AE100" s="50"/>
      <c r="AF100" s="50" t="s">
        <v>451</v>
      </c>
      <c r="AG100" s="50"/>
      <c r="AH100" s="50"/>
      <c r="AI100" s="17"/>
      <c r="AJ100" s="17"/>
      <c r="AK100" s="17"/>
      <c r="AL100" s="17"/>
      <c r="AM100" s="17"/>
      <c r="AN100" s="17"/>
      <c r="AO100" s="17"/>
      <c r="AP100" s="17"/>
      <c r="AQ100" s="17"/>
      <c r="AR100" s="17"/>
      <c r="AS100" s="17"/>
      <c r="AT100" s="17"/>
      <c r="AU100" s="17"/>
      <c r="AV100" s="17"/>
      <c r="AW100" s="17"/>
      <c r="AX100" s="17"/>
      <c r="AY100" s="17"/>
    </row>
    <row r="101" spans="1:51" x14ac:dyDescent="0.2">
      <c r="A101" s="21" t="s">
        <v>204</v>
      </c>
      <c r="B101" s="20"/>
      <c r="C101" s="20"/>
      <c r="D101" s="20"/>
      <c r="E101" s="20">
        <v>11</v>
      </c>
      <c r="F101" s="20"/>
      <c r="G101" s="20">
        <v>24</v>
      </c>
      <c r="H101" s="20"/>
      <c r="I101" s="20"/>
      <c r="J101" s="20"/>
      <c r="K101" s="20">
        <v>43</v>
      </c>
      <c r="L101" s="20"/>
      <c r="M101" s="20"/>
      <c r="N101" s="17"/>
      <c r="O101" s="27" t="s">
        <v>341</v>
      </c>
      <c r="P101" s="50"/>
      <c r="Q101" s="50"/>
      <c r="R101" s="50">
        <v>14</v>
      </c>
      <c r="S101" s="50">
        <v>7</v>
      </c>
      <c r="T101" s="50">
        <v>14</v>
      </c>
      <c r="U101" s="50"/>
      <c r="V101" s="50"/>
      <c r="W101" s="50"/>
      <c r="X101" s="50"/>
      <c r="Y101" s="50"/>
      <c r="Z101" s="50"/>
      <c r="AA101" s="50">
        <v>106</v>
      </c>
      <c r="AB101" s="50">
        <v>198</v>
      </c>
      <c r="AC101" s="50">
        <v>2.6</v>
      </c>
      <c r="AD101" s="50"/>
      <c r="AE101" s="50"/>
      <c r="AF101" s="50" t="s">
        <v>451</v>
      </c>
      <c r="AG101" s="50"/>
      <c r="AH101" s="50"/>
      <c r="AI101" s="17"/>
      <c r="AJ101" s="17"/>
      <c r="AK101" s="17"/>
      <c r="AL101" s="17"/>
      <c r="AM101" s="17"/>
      <c r="AN101" s="17"/>
      <c r="AO101" s="17"/>
      <c r="AP101" s="17"/>
      <c r="AQ101" s="17"/>
      <c r="AR101" s="17"/>
      <c r="AS101" s="17"/>
      <c r="AT101" s="17"/>
      <c r="AU101" s="17"/>
      <c r="AV101" s="17"/>
      <c r="AW101" s="17"/>
      <c r="AX101" s="17"/>
      <c r="AY101" s="17"/>
    </row>
    <row r="102" spans="1:51" x14ac:dyDescent="0.2">
      <c r="A102" s="21" t="s">
        <v>196</v>
      </c>
      <c r="B102" s="20"/>
      <c r="C102" s="20">
        <v>1</v>
      </c>
      <c r="D102" s="20"/>
      <c r="E102" s="20">
        <v>10</v>
      </c>
      <c r="F102" s="20">
        <v>13</v>
      </c>
      <c r="G102" s="20"/>
      <c r="H102" s="20"/>
      <c r="I102" s="20"/>
      <c r="J102" s="20"/>
      <c r="K102" s="20">
        <v>48</v>
      </c>
      <c r="L102" s="20"/>
      <c r="M102" s="20"/>
      <c r="N102" s="17"/>
      <c r="O102" s="27" t="s">
        <v>359</v>
      </c>
      <c r="P102" s="50"/>
      <c r="Q102" s="50"/>
      <c r="R102" s="50"/>
      <c r="S102" s="50">
        <v>13</v>
      </c>
      <c r="T102" s="50">
        <v>5</v>
      </c>
      <c r="U102" s="50"/>
      <c r="V102" s="50"/>
      <c r="W102" s="50"/>
      <c r="X102" s="50"/>
      <c r="Y102" s="50"/>
      <c r="Z102" s="50"/>
      <c r="AA102" s="50">
        <v>75</v>
      </c>
      <c r="AB102" s="50">
        <v>140</v>
      </c>
      <c r="AC102" s="50">
        <v>2.6</v>
      </c>
      <c r="AD102" s="50"/>
      <c r="AE102" s="50"/>
      <c r="AF102" s="50" t="s">
        <v>451</v>
      </c>
      <c r="AG102" s="50"/>
      <c r="AH102" s="50"/>
      <c r="AI102" s="17"/>
      <c r="AJ102" s="17"/>
      <c r="AK102" s="17"/>
      <c r="AL102" s="17"/>
      <c r="AM102" s="17"/>
      <c r="AN102" s="17"/>
      <c r="AO102" s="17"/>
      <c r="AP102" s="17"/>
      <c r="AQ102" s="17"/>
      <c r="AR102" s="17"/>
      <c r="AS102" s="17"/>
      <c r="AT102" s="17"/>
      <c r="AU102" s="17"/>
      <c r="AV102" s="17"/>
      <c r="AW102" s="17"/>
      <c r="AX102" s="17"/>
      <c r="AY102" s="17"/>
    </row>
    <row r="103" spans="1:51" x14ac:dyDescent="0.2">
      <c r="A103" s="21" t="s">
        <v>199</v>
      </c>
      <c r="B103" s="20"/>
      <c r="C103" s="20"/>
      <c r="D103" s="20">
        <v>8</v>
      </c>
      <c r="E103" s="20">
        <v>14</v>
      </c>
      <c r="F103" s="20">
        <v>15</v>
      </c>
      <c r="G103" s="20"/>
      <c r="H103" s="20"/>
      <c r="I103" s="20"/>
      <c r="J103" s="20"/>
      <c r="K103" s="20">
        <v>50</v>
      </c>
      <c r="L103" s="20"/>
      <c r="M103" s="20"/>
      <c r="N103" s="17"/>
      <c r="O103" s="27" t="s">
        <v>781</v>
      </c>
      <c r="P103" s="50">
        <v>1</v>
      </c>
      <c r="Q103" s="50"/>
      <c r="R103" s="50">
        <v>4</v>
      </c>
      <c r="S103" s="50"/>
      <c r="T103" s="50"/>
      <c r="U103" s="50"/>
      <c r="V103" s="50"/>
      <c r="W103" s="50"/>
      <c r="X103" s="50"/>
      <c r="Y103" s="50"/>
      <c r="Z103" s="50"/>
      <c r="AA103" s="50">
        <v>81</v>
      </c>
      <c r="AB103" s="50">
        <v>151</v>
      </c>
      <c r="AC103" s="50">
        <v>2.8</v>
      </c>
      <c r="AD103" s="50"/>
      <c r="AE103" s="50"/>
      <c r="AF103" s="50" t="s">
        <v>451</v>
      </c>
      <c r="AG103" s="50"/>
      <c r="AH103" s="50"/>
      <c r="AI103" s="17"/>
      <c r="AJ103" s="17"/>
      <c r="AK103" s="17"/>
      <c r="AL103" s="17"/>
      <c r="AM103" s="17"/>
      <c r="AN103" s="17"/>
      <c r="AO103" s="17"/>
      <c r="AP103" s="17"/>
      <c r="AQ103" s="17"/>
      <c r="AR103" s="17"/>
      <c r="AS103" s="17"/>
      <c r="AT103" s="17"/>
      <c r="AU103" s="17"/>
      <c r="AV103" s="17"/>
      <c r="AW103" s="17"/>
      <c r="AX103" s="17"/>
      <c r="AY103" s="17"/>
    </row>
    <row r="104" spans="1:51" x14ac:dyDescent="0.2">
      <c r="A104" s="17"/>
      <c r="B104" s="17"/>
      <c r="C104" s="17"/>
      <c r="D104" s="17"/>
      <c r="E104" s="17"/>
      <c r="F104" s="17"/>
      <c r="G104" s="17"/>
      <c r="H104" s="17"/>
      <c r="I104" s="17"/>
      <c r="J104" s="17"/>
      <c r="K104" s="17"/>
      <c r="L104" s="17"/>
      <c r="M104" s="17"/>
      <c r="N104" s="17"/>
      <c r="O104" s="27" t="s">
        <v>356</v>
      </c>
      <c r="P104" s="50"/>
      <c r="Q104" s="50"/>
      <c r="R104" s="50"/>
      <c r="S104" s="50"/>
      <c r="T104" s="50"/>
      <c r="U104" s="50"/>
      <c r="V104" s="50"/>
      <c r="W104" s="50"/>
      <c r="X104" s="50">
        <f>IF(Patch&lt;7,10,7)</f>
        <v>7</v>
      </c>
      <c r="Y104" s="50">
        <v>100</v>
      </c>
      <c r="Z104" s="50"/>
      <c r="AA104" s="50">
        <v>52</v>
      </c>
      <c r="AB104" s="50">
        <v>97</v>
      </c>
      <c r="AC104" s="50">
        <v>1.8</v>
      </c>
      <c r="AD104" s="50"/>
      <c r="AE104" s="50"/>
      <c r="AF104" s="50" t="s">
        <v>451</v>
      </c>
      <c r="AG104" s="50"/>
      <c r="AH104" s="50"/>
      <c r="AI104" s="17"/>
      <c r="AJ104" s="17"/>
      <c r="AK104" s="17"/>
      <c r="AL104" s="17"/>
      <c r="AM104" s="17"/>
      <c r="AN104" s="17"/>
      <c r="AO104" s="17"/>
      <c r="AP104" s="17"/>
      <c r="AQ104" s="17"/>
      <c r="AR104" s="17"/>
      <c r="AS104" s="17"/>
      <c r="AT104" s="17"/>
      <c r="AU104" s="17"/>
      <c r="AV104" s="17"/>
      <c r="AW104" s="17"/>
      <c r="AX104" s="17"/>
      <c r="AY104" s="17"/>
    </row>
    <row r="105" spans="1:51" x14ac:dyDescent="0.2">
      <c r="A105" s="17"/>
      <c r="B105" s="17"/>
      <c r="C105" s="17"/>
      <c r="D105" s="17"/>
      <c r="E105" s="17"/>
      <c r="F105" s="17"/>
      <c r="G105" s="17"/>
      <c r="H105" s="17"/>
      <c r="I105" s="17"/>
      <c r="J105" s="17"/>
      <c r="K105" s="17"/>
      <c r="L105" s="17"/>
      <c r="M105" s="17"/>
      <c r="N105" s="17"/>
      <c r="O105" s="27" t="s">
        <v>354</v>
      </c>
      <c r="P105" s="50"/>
      <c r="Q105" s="50"/>
      <c r="R105" s="50"/>
      <c r="S105" s="50">
        <v>10</v>
      </c>
      <c r="T105" s="50"/>
      <c r="U105" s="50"/>
      <c r="V105" s="50"/>
      <c r="W105" s="50"/>
      <c r="X105" s="50"/>
      <c r="Y105" s="50"/>
      <c r="Z105" s="50"/>
      <c r="AA105" s="50">
        <v>71</v>
      </c>
      <c r="AB105" s="50">
        <v>134</v>
      </c>
      <c r="AC105" s="50">
        <v>2.4</v>
      </c>
      <c r="AD105" s="50"/>
      <c r="AE105" s="50"/>
      <c r="AF105" s="50" t="s">
        <v>451</v>
      </c>
      <c r="AG105" s="50"/>
      <c r="AH105" s="50"/>
      <c r="AI105" s="17"/>
      <c r="AJ105" s="17"/>
      <c r="AK105" s="17"/>
      <c r="AL105" s="17"/>
      <c r="AM105" s="17"/>
      <c r="AN105" s="17"/>
      <c r="AO105" s="17"/>
      <c r="AP105" s="17"/>
      <c r="AQ105" s="17"/>
      <c r="AR105" s="17"/>
      <c r="AS105" s="17"/>
      <c r="AT105" s="17"/>
      <c r="AU105" s="17"/>
      <c r="AV105" s="17"/>
      <c r="AW105" s="17"/>
      <c r="AX105" s="17"/>
      <c r="AY105" s="17"/>
    </row>
    <row r="106" spans="1:51" ht="12.75" customHeight="1" x14ac:dyDescent="0.2">
      <c r="A106" s="171" t="s">
        <v>152</v>
      </c>
      <c r="B106" s="171"/>
      <c r="C106" s="171"/>
      <c r="D106" s="171"/>
      <c r="E106" s="171"/>
      <c r="F106" s="171"/>
      <c r="G106" s="171"/>
      <c r="H106" s="171"/>
      <c r="I106" s="171"/>
      <c r="J106" s="171"/>
      <c r="K106" s="171"/>
      <c r="L106" s="171"/>
      <c r="M106" s="171"/>
      <c r="N106" s="17"/>
      <c r="O106" s="27" t="s">
        <v>350</v>
      </c>
      <c r="P106" s="50"/>
      <c r="Q106" s="50"/>
      <c r="R106" s="50">
        <v>7</v>
      </c>
      <c r="S106" s="50"/>
      <c r="T106" s="50"/>
      <c r="U106" s="50"/>
      <c r="V106" s="50"/>
      <c r="W106" s="50"/>
      <c r="X106" s="50">
        <v>5</v>
      </c>
      <c r="Y106" s="50">
        <v>60</v>
      </c>
      <c r="Z106" s="50"/>
      <c r="AA106" s="50">
        <v>56</v>
      </c>
      <c r="AB106" s="50">
        <v>105</v>
      </c>
      <c r="AC106" s="50">
        <v>1.8</v>
      </c>
      <c r="AD106" s="50"/>
      <c r="AE106" s="50"/>
      <c r="AF106" s="50" t="s">
        <v>451</v>
      </c>
      <c r="AG106" s="50"/>
      <c r="AH106" s="50"/>
      <c r="AI106" s="17"/>
      <c r="AJ106" s="17"/>
      <c r="AK106" s="17"/>
      <c r="AL106" s="17"/>
      <c r="AM106" s="17"/>
      <c r="AN106" s="17"/>
      <c r="AO106" s="17"/>
      <c r="AP106" s="17"/>
      <c r="AQ106" s="17"/>
      <c r="AR106" s="17"/>
      <c r="AS106" s="17"/>
      <c r="AT106" s="17"/>
      <c r="AU106" s="17"/>
      <c r="AV106" s="17"/>
      <c r="AW106" s="17"/>
      <c r="AX106" s="17"/>
      <c r="AY106" s="17"/>
    </row>
    <row r="107" spans="1:51" ht="12.75" customHeight="1" x14ac:dyDescent="0.2">
      <c r="A107" s="172"/>
      <c r="B107" s="172"/>
      <c r="C107" s="172"/>
      <c r="D107" s="172"/>
      <c r="E107" s="172"/>
      <c r="F107" s="172"/>
      <c r="G107" s="172"/>
      <c r="H107" s="172"/>
      <c r="I107" s="172"/>
      <c r="J107" s="172"/>
      <c r="K107" s="172"/>
      <c r="L107" s="172"/>
      <c r="M107" s="172"/>
      <c r="N107" s="17"/>
      <c r="O107" s="27" t="s">
        <v>1172</v>
      </c>
      <c r="P107" s="50"/>
      <c r="Q107" s="50"/>
      <c r="R107" s="50"/>
      <c r="S107" s="50">
        <v>15</v>
      </c>
      <c r="T107" s="50"/>
      <c r="U107" s="50">
        <v>40</v>
      </c>
      <c r="V107" s="50"/>
      <c r="W107" s="50"/>
      <c r="X107" s="50"/>
      <c r="Y107" s="50"/>
      <c r="Z107" s="50"/>
      <c r="AA107" s="50">
        <v>138</v>
      </c>
      <c r="AB107" s="50">
        <v>257</v>
      </c>
      <c r="AC107" s="50">
        <v>2.7</v>
      </c>
      <c r="AD107" s="50"/>
      <c r="AE107" s="50"/>
      <c r="AF107" s="50" t="s">
        <v>451</v>
      </c>
      <c r="AG107" s="50"/>
      <c r="AH107" s="50"/>
      <c r="AI107" s="17"/>
      <c r="AJ107" s="17"/>
      <c r="AK107" s="17"/>
      <c r="AL107" s="17"/>
      <c r="AM107" s="17"/>
      <c r="AN107" s="17"/>
      <c r="AO107" s="17"/>
      <c r="AP107" s="17"/>
      <c r="AQ107" s="17"/>
      <c r="AR107" s="17"/>
      <c r="AS107" s="17"/>
      <c r="AT107" s="17"/>
      <c r="AU107" s="17"/>
      <c r="AV107" s="17"/>
      <c r="AW107" s="17"/>
      <c r="AX107" s="17"/>
      <c r="AY107" s="17"/>
    </row>
    <row r="108" spans="1:51" x14ac:dyDescent="0.2">
      <c r="A108" s="22" t="s">
        <v>0</v>
      </c>
      <c r="B108" s="22" t="s">
        <v>1</v>
      </c>
      <c r="C108" s="22" t="s">
        <v>2</v>
      </c>
      <c r="D108" s="22" t="s">
        <v>3</v>
      </c>
      <c r="E108" s="22" t="s">
        <v>4</v>
      </c>
      <c r="F108" s="22" t="s">
        <v>5</v>
      </c>
      <c r="G108" s="22" t="s">
        <v>6</v>
      </c>
      <c r="H108" s="22" t="s">
        <v>140</v>
      </c>
      <c r="I108" s="22" t="s">
        <v>156</v>
      </c>
      <c r="J108" s="22" t="s">
        <v>157</v>
      </c>
      <c r="K108" s="22" t="s">
        <v>7</v>
      </c>
      <c r="L108" s="22" t="s">
        <v>122</v>
      </c>
      <c r="M108" s="22" t="s">
        <v>1049</v>
      </c>
      <c r="N108" s="17"/>
      <c r="O108" s="27" t="s">
        <v>1140</v>
      </c>
      <c r="P108" s="50">
        <v>1</v>
      </c>
      <c r="Q108" s="50">
        <v>1</v>
      </c>
      <c r="R108" s="50"/>
      <c r="S108" s="50"/>
      <c r="T108" s="50"/>
      <c r="U108" s="50">
        <v>26</v>
      </c>
      <c r="V108" s="50"/>
      <c r="W108" s="50"/>
      <c r="X108" s="50"/>
      <c r="Y108" s="50"/>
      <c r="Z108" s="50"/>
      <c r="AA108" s="50">
        <v>70</v>
      </c>
      <c r="AB108" s="50">
        <v>131</v>
      </c>
      <c r="AC108" s="50">
        <v>1.6</v>
      </c>
      <c r="AD108" s="50"/>
      <c r="AE108" s="50"/>
      <c r="AF108" s="50" t="s">
        <v>451</v>
      </c>
      <c r="AG108" s="50"/>
      <c r="AH108" s="50"/>
      <c r="AI108" s="17"/>
      <c r="AJ108" s="17"/>
      <c r="AK108" s="17"/>
      <c r="AL108" s="17"/>
      <c r="AM108" s="17"/>
      <c r="AN108" s="17"/>
      <c r="AO108" s="17"/>
      <c r="AP108" s="17"/>
      <c r="AQ108" s="17"/>
      <c r="AR108" s="17"/>
      <c r="AS108" s="17"/>
      <c r="AT108" s="17"/>
      <c r="AU108" s="17"/>
      <c r="AV108" s="17"/>
      <c r="AW108" s="17"/>
      <c r="AX108" s="17"/>
      <c r="AY108" s="17"/>
    </row>
    <row r="109" spans="1:51" x14ac:dyDescent="0.2">
      <c r="A109" s="21" t="s">
        <v>393</v>
      </c>
      <c r="B109" s="19"/>
      <c r="C109" s="19"/>
      <c r="D109" s="19"/>
      <c r="E109" s="19"/>
      <c r="F109" s="19"/>
      <c r="G109" s="19"/>
      <c r="H109" s="19"/>
      <c r="I109" s="19"/>
      <c r="J109" s="19"/>
      <c r="K109" s="19"/>
      <c r="L109" s="19"/>
      <c r="M109" s="19"/>
      <c r="N109" s="17"/>
      <c r="O109" s="27" t="s">
        <v>361</v>
      </c>
      <c r="P109" s="50">
        <v>1</v>
      </c>
      <c r="Q109" s="50"/>
      <c r="R109" s="50">
        <v>7</v>
      </c>
      <c r="S109" s="50">
        <v>5</v>
      </c>
      <c r="T109" s="50"/>
      <c r="U109" s="50"/>
      <c r="V109" s="50"/>
      <c r="W109" s="50"/>
      <c r="X109" s="50"/>
      <c r="Y109" s="50"/>
      <c r="Z109" s="50"/>
      <c r="AA109" s="50">
        <v>80</v>
      </c>
      <c r="AB109" s="50">
        <v>149</v>
      </c>
      <c r="AC109" s="50">
        <v>2.8</v>
      </c>
      <c r="AD109" s="50"/>
      <c r="AE109" s="50"/>
      <c r="AF109" s="50" t="s">
        <v>451</v>
      </c>
      <c r="AG109" s="50"/>
      <c r="AH109" s="50"/>
      <c r="AI109" s="17"/>
      <c r="AJ109" s="17"/>
      <c r="AK109" s="17"/>
      <c r="AL109" s="17"/>
      <c r="AM109" s="17"/>
      <c r="AN109" s="17"/>
      <c r="AO109" s="17"/>
      <c r="AP109" s="17"/>
      <c r="AQ109" s="17"/>
      <c r="AR109" s="17"/>
      <c r="AS109" s="17"/>
      <c r="AT109" s="17"/>
      <c r="AU109" s="17"/>
      <c r="AV109" s="17"/>
      <c r="AW109" s="17"/>
      <c r="AX109" s="17"/>
      <c r="AY109" s="17"/>
    </row>
    <row r="110" spans="1:51" x14ac:dyDescent="0.2">
      <c r="A110" s="21" t="s">
        <v>1050</v>
      </c>
      <c r="B110" s="19"/>
      <c r="C110" s="19"/>
      <c r="D110" s="19"/>
      <c r="E110" s="19"/>
      <c r="F110" s="19"/>
      <c r="G110" s="19"/>
      <c r="H110" s="19"/>
      <c r="I110" s="19"/>
      <c r="J110" s="19"/>
      <c r="K110" s="19"/>
      <c r="L110" s="19"/>
      <c r="M110" s="19"/>
      <c r="N110" s="17"/>
      <c r="O110" s="27" t="s">
        <v>344</v>
      </c>
      <c r="P110" s="50"/>
      <c r="Q110" s="50"/>
      <c r="R110" s="50"/>
      <c r="S110" s="50"/>
      <c r="T110" s="50"/>
      <c r="U110" s="50"/>
      <c r="V110" s="50"/>
      <c r="W110" s="50">
        <v>1</v>
      </c>
      <c r="X110" s="50"/>
      <c r="Y110" s="50"/>
      <c r="Z110" s="50">
        <v>4</v>
      </c>
      <c r="AA110" s="50">
        <v>86</v>
      </c>
      <c r="AB110" s="50">
        <v>162</v>
      </c>
      <c r="AC110" s="50">
        <v>2.2000000000000002</v>
      </c>
      <c r="AD110" s="50"/>
      <c r="AE110" s="50"/>
      <c r="AF110" s="50" t="s">
        <v>451</v>
      </c>
      <c r="AG110" s="50"/>
      <c r="AH110" s="50"/>
      <c r="AI110" s="17"/>
      <c r="AJ110" s="17"/>
      <c r="AK110" s="17"/>
      <c r="AL110" s="17"/>
      <c r="AM110" s="17"/>
      <c r="AN110" s="17"/>
      <c r="AO110" s="17"/>
      <c r="AP110" s="17"/>
      <c r="AQ110" s="17"/>
      <c r="AR110" s="17"/>
      <c r="AS110" s="17"/>
      <c r="AT110" s="17"/>
      <c r="AU110" s="17"/>
      <c r="AV110" s="17"/>
      <c r="AW110" s="17"/>
      <c r="AX110" s="17"/>
      <c r="AY110" s="17"/>
    </row>
    <row r="111" spans="1:51" x14ac:dyDescent="0.2">
      <c r="A111" s="21" t="s">
        <v>759</v>
      </c>
      <c r="B111" s="20"/>
      <c r="C111" s="20"/>
      <c r="D111" s="20"/>
      <c r="E111" s="20">
        <v>8</v>
      </c>
      <c r="F111" s="20"/>
      <c r="G111" s="20">
        <v>50</v>
      </c>
      <c r="H111" s="20"/>
      <c r="I111" s="20"/>
      <c r="J111" s="20"/>
      <c r="K111" s="20">
        <v>344</v>
      </c>
      <c r="L111" s="20"/>
      <c r="M111" s="20"/>
      <c r="N111" s="17"/>
      <c r="O111" s="27" t="s">
        <v>789</v>
      </c>
      <c r="P111" s="50"/>
      <c r="Q111" s="50"/>
      <c r="R111" s="50">
        <v>9</v>
      </c>
      <c r="S111" s="50"/>
      <c r="T111" s="50">
        <v>9</v>
      </c>
      <c r="U111" s="50"/>
      <c r="V111" s="50"/>
      <c r="W111" s="50"/>
      <c r="X111" s="50"/>
      <c r="Y111" s="50"/>
      <c r="Z111" s="50"/>
      <c r="AA111" s="50">
        <v>57</v>
      </c>
      <c r="AB111" s="50">
        <v>87</v>
      </c>
      <c r="AC111" s="50">
        <v>1.8</v>
      </c>
      <c r="AD111" s="50"/>
      <c r="AE111" s="50"/>
      <c r="AF111" s="50" t="s">
        <v>451</v>
      </c>
      <c r="AG111" s="50"/>
      <c r="AH111" s="50"/>
      <c r="AI111" s="17"/>
      <c r="AJ111" s="17"/>
      <c r="AK111" s="17"/>
      <c r="AL111" s="17"/>
      <c r="AM111" s="17"/>
      <c r="AN111" s="17"/>
      <c r="AO111" s="17"/>
      <c r="AP111" s="17"/>
      <c r="AQ111" s="17"/>
      <c r="AR111" s="17"/>
      <c r="AS111" s="17"/>
      <c r="AT111" s="17"/>
      <c r="AU111" s="17"/>
      <c r="AV111" s="17"/>
      <c r="AW111" s="17"/>
      <c r="AX111" s="17"/>
      <c r="AY111" s="17"/>
    </row>
    <row r="112" spans="1:51" x14ac:dyDescent="0.2">
      <c r="A112" s="21" t="s">
        <v>213</v>
      </c>
      <c r="B112" s="20">
        <v>2</v>
      </c>
      <c r="C112" s="20"/>
      <c r="D112" s="20"/>
      <c r="E112" s="20">
        <v>13</v>
      </c>
      <c r="F112" s="20">
        <v>9</v>
      </c>
      <c r="G112" s="20"/>
      <c r="H112" s="20"/>
      <c r="I112" s="20"/>
      <c r="J112" s="20"/>
      <c r="K112" s="20">
        <v>381</v>
      </c>
      <c r="L112" s="20"/>
      <c r="M112" s="20"/>
      <c r="N112" s="17"/>
      <c r="O112" s="27" t="s">
        <v>347</v>
      </c>
      <c r="P112" s="50"/>
      <c r="Q112" s="50"/>
      <c r="R112" s="50"/>
      <c r="S112" s="50">
        <v>9</v>
      </c>
      <c r="T112" s="50"/>
      <c r="U112" s="50">
        <v>32</v>
      </c>
      <c r="V112" s="50"/>
      <c r="W112" s="50"/>
      <c r="X112" s="50"/>
      <c r="Y112" s="50">
        <v>70</v>
      </c>
      <c r="Z112" s="50"/>
      <c r="AA112" s="50">
        <v>99</v>
      </c>
      <c r="AB112" s="50">
        <v>185</v>
      </c>
      <c r="AC112" s="50">
        <v>2.7</v>
      </c>
      <c r="AD112" s="50"/>
      <c r="AE112" s="50"/>
      <c r="AF112" s="50" t="s">
        <v>451</v>
      </c>
      <c r="AG112" s="50"/>
      <c r="AH112" s="50"/>
      <c r="AI112" s="17"/>
      <c r="AJ112" s="17"/>
      <c r="AK112" s="17"/>
      <c r="AL112" s="17"/>
      <c r="AM112" s="17"/>
      <c r="AN112" s="17"/>
      <c r="AO112" s="17"/>
      <c r="AP112" s="17"/>
      <c r="AQ112" s="17"/>
      <c r="AR112" s="17"/>
      <c r="AS112" s="17"/>
      <c r="AT112" s="17"/>
      <c r="AU112" s="17"/>
      <c r="AV112" s="17"/>
      <c r="AW112" s="17"/>
      <c r="AX112" s="17"/>
      <c r="AY112" s="17"/>
    </row>
    <row r="113" spans="1:51" x14ac:dyDescent="0.2">
      <c r="A113" s="21" t="s">
        <v>17</v>
      </c>
      <c r="B113" s="20">
        <v>1</v>
      </c>
      <c r="C113" s="20">
        <v>1</v>
      </c>
      <c r="D113" s="20">
        <v>37</v>
      </c>
      <c r="E113" s="20">
        <v>13</v>
      </c>
      <c r="F113" s="20"/>
      <c r="G113" s="20"/>
      <c r="H113" s="20"/>
      <c r="I113" s="20"/>
      <c r="J113" s="20"/>
      <c r="K113" s="20">
        <v>824</v>
      </c>
      <c r="L113" s="20"/>
      <c r="M113" s="20"/>
      <c r="N113" s="17"/>
      <c r="O113" s="27" t="s">
        <v>346</v>
      </c>
      <c r="P113" s="50"/>
      <c r="Q113" s="50"/>
      <c r="R113" s="50"/>
      <c r="S113" s="50">
        <v>12</v>
      </c>
      <c r="T113" s="50"/>
      <c r="U113" s="50"/>
      <c r="V113" s="50"/>
      <c r="W113" s="50"/>
      <c r="X113" s="50"/>
      <c r="Y113" s="50"/>
      <c r="Z113" s="50"/>
      <c r="AA113" s="50">
        <v>84</v>
      </c>
      <c r="AB113" s="50">
        <v>126</v>
      </c>
      <c r="AC113" s="50">
        <v>2</v>
      </c>
      <c r="AD113" s="50"/>
      <c r="AE113" s="50"/>
      <c r="AF113" s="50" t="s">
        <v>451</v>
      </c>
      <c r="AG113" s="50"/>
      <c r="AH113" s="50"/>
      <c r="AI113" s="17"/>
      <c r="AJ113" s="17"/>
      <c r="AK113" s="17"/>
      <c r="AL113" s="17"/>
      <c r="AM113" s="17"/>
      <c r="AN113" s="17"/>
      <c r="AO113" s="17"/>
      <c r="AP113" s="17"/>
      <c r="AQ113" s="17"/>
      <c r="AR113" s="17"/>
      <c r="AS113" s="17"/>
      <c r="AT113" s="17"/>
      <c r="AU113" s="17"/>
      <c r="AV113" s="17"/>
      <c r="AW113" s="17"/>
      <c r="AX113" s="17"/>
      <c r="AY113" s="17"/>
    </row>
    <row r="114" spans="1:51" x14ac:dyDescent="0.2">
      <c r="A114" s="21" t="s">
        <v>212</v>
      </c>
      <c r="B114" s="20">
        <v>2</v>
      </c>
      <c r="C114" s="20"/>
      <c r="D114" s="20">
        <v>13</v>
      </c>
      <c r="E114" s="20">
        <v>20</v>
      </c>
      <c r="F114" s="20"/>
      <c r="G114" s="20"/>
      <c r="H114" s="20">
        <v>1</v>
      </c>
      <c r="I114" s="20"/>
      <c r="J114" s="20"/>
      <c r="K114" s="20">
        <v>190</v>
      </c>
      <c r="L114" s="20"/>
      <c r="M114" s="20"/>
      <c r="N114" s="17"/>
      <c r="O114" s="27" t="s">
        <v>783</v>
      </c>
      <c r="P114" s="50">
        <v>1</v>
      </c>
      <c r="Q114" s="50"/>
      <c r="R114" s="50"/>
      <c r="S114" s="50">
        <f>IF(Patch&lt;6,6,7)</f>
        <v>7</v>
      </c>
      <c r="T114" s="50"/>
      <c r="U114" s="50">
        <f>IF(Patch&lt;6,12,28)</f>
        <v>28</v>
      </c>
      <c r="V114" s="50"/>
      <c r="W114" s="50"/>
      <c r="X114" s="50"/>
      <c r="Y114" s="50"/>
      <c r="Z114" s="50"/>
      <c r="AA114" s="50">
        <f>IF(Patch&lt;6,115,138)</f>
        <v>138</v>
      </c>
      <c r="AB114" s="50">
        <f>IF(Patch&lt;6,173,207)</f>
        <v>207</v>
      </c>
      <c r="AC114" s="50">
        <v>2.9</v>
      </c>
      <c r="AD114" s="50"/>
      <c r="AE114" s="50"/>
      <c r="AF114" s="50" t="s">
        <v>451</v>
      </c>
      <c r="AG114" s="50"/>
      <c r="AH114" s="50"/>
      <c r="AI114" s="17"/>
      <c r="AJ114" s="17"/>
      <c r="AK114" s="17"/>
      <c r="AL114" s="17"/>
      <c r="AM114" s="17"/>
      <c r="AN114" s="17"/>
      <c r="AO114" s="17"/>
      <c r="AP114" s="17"/>
      <c r="AQ114" s="17"/>
      <c r="AR114" s="17"/>
      <c r="AS114" s="17"/>
      <c r="AT114" s="17"/>
      <c r="AU114" s="17"/>
      <c r="AV114" s="17"/>
      <c r="AW114" s="17"/>
      <c r="AX114" s="17"/>
      <c r="AY114" s="17"/>
    </row>
    <row r="115" spans="1:51" x14ac:dyDescent="0.2">
      <c r="A115" s="21" t="s">
        <v>208</v>
      </c>
      <c r="B115" s="20"/>
      <c r="C115" s="20">
        <v>1</v>
      </c>
      <c r="D115" s="20">
        <v>21</v>
      </c>
      <c r="E115" s="20">
        <v>26</v>
      </c>
      <c r="F115" s="20">
        <v>13</v>
      </c>
      <c r="G115" s="20"/>
      <c r="H115" s="20"/>
      <c r="I115" s="20"/>
      <c r="J115" s="20"/>
      <c r="K115" s="20">
        <v>684</v>
      </c>
      <c r="L115" s="20"/>
      <c r="M115" s="20"/>
      <c r="N115" s="17"/>
      <c r="O115" s="27" t="s">
        <v>782</v>
      </c>
      <c r="P115" s="50">
        <v>1</v>
      </c>
      <c r="Q115" s="50"/>
      <c r="R115" s="50"/>
      <c r="S115" s="50">
        <v>7</v>
      </c>
      <c r="T115" s="50"/>
      <c r="U115" s="50">
        <v>28</v>
      </c>
      <c r="V115" s="50"/>
      <c r="W115" s="50"/>
      <c r="X115" s="50"/>
      <c r="Y115" s="50"/>
      <c r="Z115" s="50"/>
      <c r="AA115" s="50">
        <v>85</v>
      </c>
      <c r="AB115" s="50">
        <v>129</v>
      </c>
      <c r="AC115" s="50">
        <v>1.8</v>
      </c>
      <c r="AD115" s="50"/>
      <c r="AE115" s="50"/>
      <c r="AF115" s="50" t="s">
        <v>451</v>
      </c>
      <c r="AG115" s="50"/>
      <c r="AH115" s="50"/>
      <c r="AI115" s="17"/>
      <c r="AJ115" s="17"/>
      <c r="AK115" s="17"/>
      <c r="AL115" s="17"/>
      <c r="AM115" s="17"/>
      <c r="AN115" s="17"/>
      <c r="AO115" s="17"/>
      <c r="AP115" s="17"/>
      <c r="AQ115" s="17"/>
      <c r="AR115" s="17"/>
      <c r="AS115" s="17"/>
      <c r="AT115" s="17"/>
      <c r="AU115" s="17"/>
      <c r="AV115" s="17"/>
      <c r="AW115" s="17"/>
      <c r="AX115" s="17"/>
      <c r="AY115" s="17"/>
    </row>
    <row r="116" spans="1:51" x14ac:dyDescent="0.2">
      <c r="A116" s="21" t="s">
        <v>206</v>
      </c>
      <c r="B116" s="20"/>
      <c r="C116" s="20"/>
      <c r="D116" s="20">
        <v>20</v>
      </c>
      <c r="E116" s="20">
        <v>28</v>
      </c>
      <c r="F116" s="20">
        <f>IF(Patch&lt;5,7,0)</f>
        <v>0</v>
      </c>
      <c r="G116" s="20"/>
      <c r="H116" s="20"/>
      <c r="I116" s="20"/>
      <c r="J116" s="20">
        <f>IF(Patch&lt;5,0,IF(Patch&lt;7,10,7))</f>
        <v>7</v>
      </c>
      <c r="K116" s="20">
        <v>749</v>
      </c>
      <c r="L116" s="20"/>
      <c r="M116" s="20"/>
      <c r="N116" s="17"/>
      <c r="O116" s="27" t="s">
        <v>343</v>
      </c>
      <c r="P116" s="50"/>
      <c r="Q116" s="50"/>
      <c r="R116" s="50">
        <v>13</v>
      </c>
      <c r="S116" s="50">
        <v>14</v>
      </c>
      <c r="T116" s="50">
        <v>9</v>
      </c>
      <c r="U116" s="50"/>
      <c r="V116" s="50"/>
      <c r="W116" s="50"/>
      <c r="X116" s="50"/>
      <c r="Y116" s="50"/>
      <c r="Z116" s="50"/>
      <c r="AA116" s="50">
        <v>84</v>
      </c>
      <c r="AB116" s="50">
        <v>157</v>
      </c>
      <c r="AC116" s="50">
        <v>2.1</v>
      </c>
      <c r="AD116" s="50"/>
      <c r="AE116" s="50"/>
      <c r="AF116" s="50" t="s">
        <v>451</v>
      </c>
      <c r="AG116" s="50"/>
      <c r="AH116" s="50"/>
      <c r="AI116" s="17"/>
      <c r="AJ116" s="17"/>
      <c r="AK116" s="17"/>
      <c r="AL116" s="17"/>
      <c r="AM116" s="17"/>
      <c r="AN116" s="17"/>
      <c r="AO116" s="17"/>
      <c r="AP116" s="17"/>
      <c r="AQ116" s="17"/>
      <c r="AR116" s="17"/>
      <c r="AS116" s="17"/>
      <c r="AT116" s="17"/>
      <c r="AU116" s="17"/>
      <c r="AV116" s="17"/>
      <c r="AW116" s="17"/>
      <c r="AX116" s="17"/>
      <c r="AY116" s="17"/>
    </row>
    <row r="117" spans="1:51" x14ac:dyDescent="0.2">
      <c r="A117" s="21" t="s">
        <v>209</v>
      </c>
      <c r="B117" s="20"/>
      <c r="C117" s="20"/>
      <c r="D117" s="20">
        <v>20</v>
      </c>
      <c r="E117" s="20">
        <v>30</v>
      </c>
      <c r="F117" s="20">
        <v>10</v>
      </c>
      <c r="G117" s="20"/>
      <c r="H117" s="20"/>
      <c r="I117" s="20"/>
      <c r="J117" s="20"/>
      <c r="K117" s="20">
        <v>706</v>
      </c>
      <c r="L117" s="20"/>
      <c r="M117" s="20"/>
      <c r="N117" s="17"/>
      <c r="O117" s="27" t="s">
        <v>355</v>
      </c>
      <c r="P117" s="50"/>
      <c r="Q117" s="50"/>
      <c r="R117" s="50"/>
      <c r="S117" s="50">
        <v>6</v>
      </c>
      <c r="T117" s="50"/>
      <c r="U117" s="50">
        <v>26</v>
      </c>
      <c r="V117" s="50"/>
      <c r="W117" s="50"/>
      <c r="X117" s="50"/>
      <c r="Y117" s="50"/>
      <c r="Z117" s="50"/>
      <c r="AA117" s="50">
        <v>83</v>
      </c>
      <c r="AB117" s="50">
        <v>156</v>
      </c>
      <c r="AC117" s="50">
        <v>2.8</v>
      </c>
      <c r="AD117" s="50"/>
      <c r="AE117" s="50"/>
      <c r="AF117" s="50" t="s">
        <v>451</v>
      </c>
      <c r="AG117" s="50"/>
      <c r="AH117" s="50"/>
      <c r="AI117" s="17"/>
      <c r="AJ117" s="17"/>
      <c r="AK117" s="17"/>
      <c r="AL117" s="17"/>
      <c r="AM117" s="17"/>
      <c r="AN117" s="17"/>
      <c r="AO117" s="17"/>
      <c r="AP117" s="17"/>
      <c r="AQ117" s="17"/>
      <c r="AR117" s="17"/>
      <c r="AS117" s="17"/>
      <c r="AT117" s="17"/>
      <c r="AU117" s="17"/>
      <c r="AV117" s="17"/>
      <c r="AW117" s="17"/>
      <c r="AX117" s="17"/>
      <c r="AY117" s="17"/>
    </row>
    <row r="118" spans="1:51" x14ac:dyDescent="0.2">
      <c r="A118" s="21" t="s">
        <v>509</v>
      </c>
      <c r="B118" s="20"/>
      <c r="C118" s="20"/>
      <c r="D118" s="20">
        <v>15</v>
      </c>
      <c r="E118" s="20">
        <v>24</v>
      </c>
      <c r="F118" s="20">
        <v>10</v>
      </c>
      <c r="G118" s="20"/>
      <c r="H118" s="20"/>
      <c r="I118" s="20"/>
      <c r="J118" s="20"/>
      <c r="K118" s="20">
        <v>657</v>
      </c>
      <c r="L118" s="20"/>
      <c r="M118" s="20"/>
      <c r="N118" s="17"/>
      <c r="O118" s="27" t="s">
        <v>357</v>
      </c>
      <c r="P118" s="50"/>
      <c r="Q118" s="50"/>
      <c r="R118" s="50"/>
      <c r="S118" s="50"/>
      <c r="T118" s="50"/>
      <c r="U118" s="50"/>
      <c r="V118" s="50"/>
      <c r="W118" s="50"/>
      <c r="X118" s="50"/>
      <c r="Y118" s="50"/>
      <c r="Z118" s="50"/>
      <c r="AA118" s="50">
        <v>72</v>
      </c>
      <c r="AB118" s="50">
        <v>135</v>
      </c>
      <c r="AC118" s="50">
        <v>2.5</v>
      </c>
      <c r="AD118" s="50"/>
      <c r="AE118" s="50"/>
      <c r="AF118" s="50" t="s">
        <v>451</v>
      </c>
      <c r="AG118" s="50"/>
      <c r="AH118" s="50"/>
      <c r="AI118" s="17"/>
      <c r="AJ118" s="17"/>
      <c r="AK118" s="17"/>
      <c r="AL118" s="17"/>
      <c r="AM118" s="17"/>
      <c r="AN118" s="17"/>
      <c r="AO118" s="17"/>
      <c r="AP118" s="17"/>
      <c r="AQ118" s="17"/>
      <c r="AR118" s="17"/>
      <c r="AS118" s="17"/>
      <c r="AT118" s="17"/>
      <c r="AU118" s="17"/>
      <c r="AV118" s="17"/>
      <c r="AW118" s="17"/>
      <c r="AX118" s="17"/>
      <c r="AY118" s="17"/>
    </row>
    <row r="119" spans="1:51" x14ac:dyDescent="0.2">
      <c r="A119" s="21" t="s">
        <v>205</v>
      </c>
      <c r="B119" s="20"/>
      <c r="C119" s="20"/>
      <c r="D119" s="20">
        <v>17</v>
      </c>
      <c r="E119" s="20">
        <v>40</v>
      </c>
      <c r="F119" s="20"/>
      <c r="G119" s="20"/>
      <c r="H119" s="20"/>
      <c r="I119" s="20"/>
      <c r="J119" s="20">
        <f>IF(Patch&lt;7,16,11)</f>
        <v>11</v>
      </c>
      <c r="K119" s="20">
        <v>857</v>
      </c>
      <c r="L119" s="20"/>
      <c r="M119" s="20"/>
      <c r="N119" s="17"/>
      <c r="O119" s="27" t="s">
        <v>358</v>
      </c>
      <c r="P119" s="50"/>
      <c r="Q119" s="50"/>
      <c r="R119" s="50"/>
      <c r="S119" s="50"/>
      <c r="T119" s="50"/>
      <c r="U119" s="50"/>
      <c r="V119" s="50"/>
      <c r="W119" s="50"/>
      <c r="X119" s="50"/>
      <c r="Y119" s="50"/>
      <c r="Z119" s="50"/>
      <c r="AA119" s="50">
        <v>81</v>
      </c>
      <c r="AB119" s="50">
        <v>151</v>
      </c>
      <c r="AC119" s="50">
        <v>2.8</v>
      </c>
      <c r="AD119" s="50"/>
      <c r="AE119" s="50"/>
      <c r="AF119" s="50" t="s">
        <v>451</v>
      </c>
      <c r="AG119" s="50"/>
      <c r="AH119" s="50"/>
      <c r="AI119" s="17"/>
      <c r="AJ119" s="17"/>
      <c r="AK119" s="17"/>
      <c r="AL119" s="17"/>
      <c r="AM119" s="17"/>
      <c r="AN119" s="17"/>
      <c r="AO119" s="17"/>
      <c r="AP119" s="17"/>
      <c r="AQ119" s="17"/>
      <c r="AR119" s="17"/>
      <c r="AS119" s="17"/>
      <c r="AT119" s="17"/>
      <c r="AU119" s="17"/>
      <c r="AV119" s="17"/>
      <c r="AW119" s="17"/>
      <c r="AX119" s="17"/>
      <c r="AY119" s="17"/>
    </row>
    <row r="120" spans="1:51" x14ac:dyDescent="0.2">
      <c r="A120" s="21" t="s">
        <v>215</v>
      </c>
      <c r="B120" s="20"/>
      <c r="C120" s="20"/>
      <c r="D120" s="20">
        <v>8</v>
      </c>
      <c r="E120" s="20"/>
      <c r="F120" s="20">
        <v>8</v>
      </c>
      <c r="G120" s="20">
        <v>60</v>
      </c>
      <c r="H120" s="20"/>
      <c r="I120" s="20"/>
      <c r="J120" s="20"/>
      <c r="K120" s="20">
        <v>172</v>
      </c>
      <c r="L120" s="20"/>
      <c r="M120" s="20"/>
      <c r="N120" s="17"/>
      <c r="O120" s="27" t="s">
        <v>349</v>
      </c>
      <c r="P120" s="50"/>
      <c r="Q120" s="50"/>
      <c r="R120" s="50"/>
      <c r="S120" s="50"/>
      <c r="T120" s="50"/>
      <c r="U120" s="50">
        <v>12</v>
      </c>
      <c r="V120" s="50"/>
      <c r="W120" s="50"/>
      <c r="X120" s="50"/>
      <c r="Y120" s="50"/>
      <c r="Z120" s="50"/>
      <c r="AA120" s="50">
        <v>78</v>
      </c>
      <c r="AB120" s="50">
        <v>146</v>
      </c>
      <c r="AC120" s="50">
        <v>2.5</v>
      </c>
      <c r="AD120" s="50">
        <f ca="1">84*VLOOKUP(O120,ProcChance,4,FALSE)*0.8*(WhiteMHConnects+YellowConnects+WindfuryConnects+HoJConnects)*IF(Spell_Crit&gt;0,1+1.5*Spell_Crit/100,1)</f>
        <v>2.8645877491919838</v>
      </c>
      <c r="AE120" s="50">
        <f ca="1">84*VLOOKUP(O120,ProcChance,4,FALSE)*0.8*WhiteOHConnects*IF(Spell_Crit&gt;0,1+1.5*Spell_Crit/100,1)</f>
        <v>1.5741225679027078</v>
      </c>
      <c r="AF120" s="50" t="s">
        <v>451</v>
      </c>
      <c r="AG120" s="50">
        <f ca="1">84*VLOOKUP(O120,ProcChance,4,FALSE)*0.8*(WhiteMHConnects20+YellowConnects20+WindfuryConnects20+HoJConnects20)*IF(Spell_Crit&gt;0,1+1.5*Spell_Crit/100,1)</f>
        <v>3.7341305045463162</v>
      </c>
      <c r="AH120" s="50">
        <f ca="1">84*VLOOKUP(O120,ProcChance,4,FALSE)*0.8*WhiteOHConnects20*IF(Spell_Crit&gt;0,1+1.5*Spell_Crit/100,1)</f>
        <v>1.5945416080029648</v>
      </c>
      <c r="AI120" s="17"/>
      <c r="AJ120" s="17"/>
      <c r="AK120" s="17"/>
      <c r="AL120" s="17"/>
      <c r="AM120" s="17"/>
      <c r="AN120" s="17"/>
      <c r="AO120" s="17"/>
      <c r="AP120" s="17"/>
      <c r="AQ120" s="17"/>
      <c r="AR120" s="17"/>
      <c r="AS120" s="17"/>
      <c r="AT120" s="17"/>
      <c r="AU120" s="17"/>
      <c r="AV120" s="17"/>
      <c r="AW120" s="17"/>
      <c r="AX120" s="17"/>
      <c r="AY120" s="17"/>
    </row>
    <row r="121" spans="1:51" x14ac:dyDescent="0.2">
      <c r="A121" s="21" t="s">
        <v>96</v>
      </c>
      <c r="B121" s="20"/>
      <c r="C121" s="20"/>
      <c r="D121" s="20">
        <v>34</v>
      </c>
      <c r="E121" s="20">
        <v>38</v>
      </c>
      <c r="F121" s="20">
        <v>24</v>
      </c>
      <c r="G121" s="20"/>
      <c r="H121" s="20"/>
      <c r="I121" s="20"/>
      <c r="J121" s="20">
        <v>6</v>
      </c>
      <c r="K121" s="20">
        <v>985</v>
      </c>
      <c r="L121" s="20"/>
      <c r="M121" s="20"/>
      <c r="N121" s="17"/>
      <c r="O121" s="27" t="s">
        <v>353</v>
      </c>
      <c r="P121" s="50"/>
      <c r="Q121" s="50"/>
      <c r="R121" s="50"/>
      <c r="S121" s="50"/>
      <c r="T121" s="50"/>
      <c r="U121" s="50"/>
      <c r="V121" s="50"/>
      <c r="W121" s="50"/>
      <c r="X121" s="50"/>
      <c r="Y121" s="50"/>
      <c r="Z121" s="50"/>
      <c r="AA121" s="50">
        <v>96</v>
      </c>
      <c r="AB121" s="50">
        <v>178</v>
      </c>
      <c r="AC121" s="50">
        <v>2.9</v>
      </c>
      <c r="AD121" s="50">
        <f ca="1">150*VLOOKUP(O121,ProcChance,4,FALSE)*0.8*(WhiteMHConnects+YellowConnects+WindfuryConnects+HoJConnects)*IF(Spell_Crit&gt;0,1+1.5*Spell_Crit/100,1)</f>
        <v>8.9006833635608071</v>
      </c>
      <c r="AE121" s="50">
        <f ca="1">150*VLOOKUP(O121,ProcChance,4,FALSE)*0.8*WhiteOHConnects*IF(Spell_Crit&gt;0,1+1.5*Spell_Crit/100,1)</f>
        <v>4.8910236931262707</v>
      </c>
      <c r="AF121" s="50" t="s">
        <v>451</v>
      </c>
      <c r="AG121" s="50">
        <f ca="1">150*VLOOKUP(O121,ProcChance,4,FALSE)*0.8*(WhiteMHConnects20+YellowConnects20+WindfuryConnects20+HoJConnects20)*IF(Spell_Crit&gt;0,1+1.5*Spell_Crit/100,1)</f>
        <v>11.602476924840339</v>
      </c>
      <c r="AH121" s="50">
        <f ca="1">150*VLOOKUP(O121,ProcChance,4,FALSE)*0.8*WhiteOHConnects20*IF(Spell_Crit&gt;0,1+1.5*Spell_Crit/100,1)</f>
        <v>4.9544685677234979</v>
      </c>
      <c r="AI121" s="17"/>
      <c r="AJ121" s="17"/>
      <c r="AK121" s="17"/>
      <c r="AL121" s="17"/>
      <c r="AM121" s="17"/>
      <c r="AN121" s="17"/>
      <c r="AO121" s="17"/>
      <c r="AP121" s="17"/>
      <c r="AQ121" s="17"/>
      <c r="AR121" s="17"/>
      <c r="AS121" s="17"/>
      <c r="AT121" s="17"/>
      <c r="AU121" s="17"/>
      <c r="AV121" s="17"/>
      <c r="AW121" s="17"/>
      <c r="AX121" s="17"/>
      <c r="AY121" s="17"/>
    </row>
    <row r="122" spans="1:51" x14ac:dyDescent="0.2">
      <c r="A122" s="21" t="s">
        <v>216</v>
      </c>
      <c r="B122" s="20">
        <v>2</v>
      </c>
      <c r="C122" s="20"/>
      <c r="D122" s="20">
        <v>8</v>
      </c>
      <c r="E122" s="20">
        <v>8</v>
      </c>
      <c r="F122" s="20"/>
      <c r="G122" s="20"/>
      <c r="H122" s="20"/>
      <c r="I122" s="20"/>
      <c r="J122" s="20"/>
      <c r="K122" s="20">
        <v>338</v>
      </c>
      <c r="L122" s="20"/>
      <c r="M122" s="20"/>
      <c r="N122" s="17"/>
      <c r="O122" s="27" t="s">
        <v>1173</v>
      </c>
      <c r="P122" s="50"/>
      <c r="Q122" s="50"/>
      <c r="R122" s="50"/>
      <c r="S122" s="50">
        <v>14</v>
      </c>
      <c r="T122" s="50"/>
      <c r="U122" s="50"/>
      <c r="V122" s="50"/>
      <c r="W122" s="50"/>
      <c r="X122" s="50"/>
      <c r="Y122" s="50">
        <v>140</v>
      </c>
      <c r="Z122" s="50">
        <v>6</v>
      </c>
      <c r="AA122" s="50">
        <v>76</v>
      </c>
      <c r="AB122" s="50">
        <v>143</v>
      </c>
      <c r="AC122" s="50">
        <v>1.5</v>
      </c>
      <c r="AD122" s="50"/>
      <c r="AE122" s="50"/>
      <c r="AF122" s="50" t="s">
        <v>451</v>
      </c>
      <c r="AG122" s="50"/>
      <c r="AH122" s="50"/>
      <c r="AI122" s="17"/>
      <c r="AJ122" s="17"/>
      <c r="AK122" s="17"/>
      <c r="AL122" s="17"/>
      <c r="AM122" s="17"/>
      <c r="AN122" s="17"/>
      <c r="AO122" s="17"/>
      <c r="AP122" s="17"/>
      <c r="AQ122" s="17"/>
      <c r="AR122" s="17"/>
      <c r="AS122" s="17"/>
      <c r="AT122" s="17"/>
      <c r="AU122" s="17"/>
      <c r="AV122" s="17"/>
      <c r="AW122" s="17"/>
      <c r="AX122" s="17"/>
      <c r="AY122" s="17"/>
    </row>
    <row r="123" spans="1:51" x14ac:dyDescent="0.2">
      <c r="A123" s="21" t="s">
        <v>1215</v>
      </c>
      <c r="B123" s="20">
        <v>2</v>
      </c>
      <c r="C123" s="20"/>
      <c r="D123" s="20">
        <v>40</v>
      </c>
      <c r="E123" s="20">
        <v>22</v>
      </c>
      <c r="F123" s="20"/>
      <c r="G123" s="20"/>
      <c r="H123" s="20"/>
      <c r="I123" s="20"/>
      <c r="J123" s="20"/>
      <c r="K123" s="20">
        <v>411</v>
      </c>
      <c r="L123" s="20"/>
      <c r="M123" s="20"/>
      <c r="N123" s="17"/>
      <c r="O123" s="27" t="s">
        <v>651</v>
      </c>
      <c r="P123" s="50"/>
      <c r="Q123" s="50"/>
      <c r="R123" s="50"/>
      <c r="S123" s="50"/>
      <c r="T123" s="50"/>
      <c r="U123" s="50"/>
      <c r="V123" s="50"/>
      <c r="W123" s="50"/>
      <c r="X123" s="50"/>
      <c r="Y123" s="50"/>
      <c r="Z123" s="50"/>
      <c r="AA123" s="50">
        <v>66</v>
      </c>
      <c r="AB123" s="50">
        <v>124</v>
      </c>
      <c r="AC123" s="50">
        <v>2.7</v>
      </c>
      <c r="AD123" s="50">
        <f ca="1">VLOOKUP(O123,ProcChance,4,FALSE)*(WhiteMHConnects+YellowConnects)*(BaseDamage+NetAP/14*BaseSpeed)*WhiteHitMod</f>
        <v>16.797936093729671</v>
      </c>
      <c r="AE123" s="50">
        <f ca="1">VLOOKUP(O123,ProcChance,4,FALSE)*WhiteOHConnects*(BaseDamage+NetAP/14*BaseSpeed)*WhiteHitMod</f>
        <v>9.2306511842012338</v>
      </c>
      <c r="AF123" s="50" t="s">
        <v>451</v>
      </c>
      <c r="AG123" s="50">
        <f ca="1">VLOOKUP(O123,ProcChance,4,FALSE)*(WhiteMHConnects20+YellowConnects20)*(BaseDamage+NetAP20/14*BaseSpeed)*WhiteHitMod20</f>
        <v>22.017973185969769</v>
      </c>
      <c r="AH123" s="50">
        <f ca="1">VLOOKUP(O123,ProcChance,4,FALSE)*WhiteOHConnects20*(BaseDamage+NetAP20/14*BaseSpeed)*WhiteHitMod20</f>
        <v>9.4020748139834946</v>
      </c>
      <c r="AI123" s="17"/>
      <c r="AJ123" s="17"/>
      <c r="AK123" s="17"/>
      <c r="AL123" s="17"/>
      <c r="AM123" s="17"/>
      <c r="AN123" s="17"/>
      <c r="AO123" s="17"/>
      <c r="AP123" s="17"/>
      <c r="AQ123" s="17"/>
      <c r="AR123" s="17"/>
      <c r="AS123" s="17"/>
      <c r="AT123" s="17"/>
      <c r="AU123" s="17"/>
      <c r="AV123" s="17"/>
      <c r="AW123" s="17"/>
      <c r="AX123" s="17"/>
      <c r="AY123" s="17"/>
    </row>
    <row r="124" spans="1:51" x14ac:dyDescent="0.2">
      <c r="A124" s="21" t="s">
        <v>678</v>
      </c>
      <c r="B124" s="20"/>
      <c r="C124" s="20"/>
      <c r="D124" s="20">
        <v>40</v>
      </c>
      <c r="E124" s="20">
        <v>22</v>
      </c>
      <c r="F124" s="20"/>
      <c r="G124" s="20"/>
      <c r="H124" s="20"/>
      <c r="I124" s="20"/>
      <c r="J124" s="20"/>
      <c r="K124" s="20">
        <v>814</v>
      </c>
      <c r="L124" s="20"/>
      <c r="M124" s="20"/>
      <c r="N124" s="17"/>
      <c r="O124" s="27" t="s">
        <v>340</v>
      </c>
      <c r="P124" s="50"/>
      <c r="Q124" s="50"/>
      <c r="R124" s="50"/>
      <c r="S124" s="50">
        <v>8</v>
      </c>
      <c r="T124" s="50">
        <v>5</v>
      </c>
      <c r="U124" s="50"/>
      <c r="V124" s="50"/>
      <c r="W124" s="50"/>
      <c r="X124" s="50"/>
      <c r="Y124" s="50"/>
      <c r="Z124" s="50"/>
      <c r="AA124" s="50">
        <v>60</v>
      </c>
      <c r="AB124" s="50">
        <v>145</v>
      </c>
      <c r="AC124" s="50">
        <v>1.9</v>
      </c>
      <c r="AD124" s="50">
        <f ca="1">300*VLOOKUP(O124,ProcChance,4,FALSE)*0.8*(WhiteMHConnects+YellowConnects+WindfuryConnects+HoJConnects+SSConnects)*IF(Spell_Crit&gt;0,1+1.5*Spell_Crit/100,1)</f>
        <v>49.107218557576864</v>
      </c>
      <c r="AE124" s="50">
        <f ca="1">300*VLOOKUP(O124,ProcChance,4,FALSE)*0.8*WhiteOHConnects*IF(Spell_Crit&gt;0,1+1.5*Spell_Crit/100,1)</f>
        <v>26.984958306903557</v>
      </c>
      <c r="AF124" s="50" t="s">
        <v>451</v>
      </c>
      <c r="AG124" s="50">
        <f ca="1">300*VLOOKUP(O124,ProcChance,4,FALSE)*0.8*(WhiteMHConnects20+YellowConnects20+WindfuryConnects20+HoJConnects20+SSConnects20)*IF(Spell_Crit&gt;0,1+1.5*Spell_Crit/100,1)</f>
        <v>64.013665792222554</v>
      </c>
      <c r="AH124" s="50">
        <f ca="1">300*VLOOKUP(O124,ProcChance,4,FALSE)*0.8*WhiteOHConnects20*IF(Spell_Crit&gt;0,1+1.5*Spell_Crit/100,1)</f>
        <v>27.334998994336534</v>
      </c>
      <c r="AI124" s="17"/>
      <c r="AJ124" s="17"/>
      <c r="AK124" s="17"/>
      <c r="AL124" s="17"/>
      <c r="AM124" s="17"/>
      <c r="AN124" s="17"/>
      <c r="AO124" s="17"/>
      <c r="AP124" s="17"/>
      <c r="AQ124" s="17"/>
      <c r="AR124" s="17"/>
      <c r="AS124" s="17"/>
      <c r="AT124" s="17"/>
      <c r="AU124" s="17"/>
      <c r="AV124" s="17"/>
      <c r="AW124" s="17"/>
      <c r="AX124" s="17"/>
      <c r="AY124" s="17"/>
    </row>
    <row r="125" spans="1:51" x14ac:dyDescent="0.2">
      <c r="A125" s="21" t="s">
        <v>679</v>
      </c>
      <c r="B125" s="20">
        <v>1</v>
      </c>
      <c r="C125" s="20"/>
      <c r="D125" s="20"/>
      <c r="E125" s="20"/>
      <c r="F125" s="20"/>
      <c r="G125" s="20">
        <v>76</v>
      </c>
      <c r="H125" s="20"/>
      <c r="I125" s="20"/>
      <c r="J125" s="20"/>
      <c r="K125" s="20">
        <v>311</v>
      </c>
      <c r="L125" s="20"/>
      <c r="M125" s="20"/>
      <c r="N125" s="17"/>
      <c r="O125" s="27" t="s">
        <v>683</v>
      </c>
      <c r="P125" s="50">
        <v>1</v>
      </c>
      <c r="Q125" s="50"/>
      <c r="R125" s="50"/>
      <c r="S125" s="50"/>
      <c r="T125" s="50"/>
      <c r="U125" s="50">
        <v>28</v>
      </c>
      <c r="V125" s="50"/>
      <c r="W125" s="50"/>
      <c r="X125" s="50"/>
      <c r="Y125" s="50"/>
      <c r="Z125" s="50"/>
      <c r="AA125" s="50">
        <v>59</v>
      </c>
      <c r="AB125" s="50">
        <v>110</v>
      </c>
      <c r="AC125" s="50">
        <v>1.7</v>
      </c>
      <c r="AD125" s="50"/>
      <c r="AE125" s="50"/>
      <c r="AF125" s="50" t="s">
        <v>451</v>
      </c>
      <c r="AG125" s="50"/>
      <c r="AH125" s="50"/>
      <c r="AI125" s="17"/>
      <c r="AJ125" s="17"/>
      <c r="AK125" s="17"/>
      <c r="AL125" s="17"/>
      <c r="AM125" s="17"/>
      <c r="AN125" s="17"/>
      <c r="AO125" s="17"/>
      <c r="AP125" s="17"/>
      <c r="AQ125" s="17"/>
      <c r="AR125" s="17"/>
      <c r="AS125" s="17"/>
      <c r="AT125" s="17"/>
      <c r="AU125" s="17"/>
      <c r="AV125" s="17"/>
      <c r="AW125" s="17"/>
      <c r="AX125" s="17"/>
      <c r="AY125" s="17"/>
    </row>
    <row r="126" spans="1:51" x14ac:dyDescent="0.2">
      <c r="A126" s="21" t="s">
        <v>214</v>
      </c>
      <c r="B126" s="20">
        <v>1</v>
      </c>
      <c r="C126" s="20"/>
      <c r="D126" s="20">
        <v>8</v>
      </c>
      <c r="E126" s="20">
        <v>13</v>
      </c>
      <c r="F126" s="20">
        <v>20</v>
      </c>
      <c r="G126" s="20"/>
      <c r="H126" s="20"/>
      <c r="I126" s="20"/>
      <c r="J126" s="20"/>
      <c r="K126" s="20">
        <v>365</v>
      </c>
      <c r="L126" s="20"/>
      <c r="M126" s="20"/>
      <c r="N126" s="17"/>
      <c r="O126" s="27" t="s">
        <v>351</v>
      </c>
      <c r="P126" s="50"/>
      <c r="Q126" s="50"/>
      <c r="R126" s="50"/>
      <c r="S126" s="50"/>
      <c r="T126" s="50"/>
      <c r="U126" s="50">
        <v>40</v>
      </c>
      <c r="V126" s="50"/>
      <c r="W126" s="50"/>
      <c r="X126" s="50"/>
      <c r="Y126" s="50"/>
      <c r="Z126" s="50"/>
      <c r="AA126" s="50">
        <v>57</v>
      </c>
      <c r="AB126" s="50">
        <v>106</v>
      </c>
      <c r="AC126" s="50">
        <v>1.7</v>
      </c>
      <c r="AD126" s="50"/>
      <c r="AE126" s="50"/>
      <c r="AF126" s="50" t="s">
        <v>451</v>
      </c>
      <c r="AG126" s="50"/>
      <c r="AH126" s="50"/>
      <c r="AI126" s="17"/>
      <c r="AJ126" s="17"/>
      <c r="AK126" s="17"/>
      <c r="AL126" s="17"/>
      <c r="AM126" s="17"/>
      <c r="AN126" s="17"/>
      <c r="AO126" s="17"/>
      <c r="AP126" s="17"/>
      <c r="AQ126" s="17"/>
      <c r="AR126" s="17"/>
      <c r="AS126" s="17"/>
      <c r="AT126" s="17"/>
      <c r="AU126" s="17"/>
      <c r="AV126" s="17"/>
      <c r="AW126" s="17"/>
      <c r="AX126" s="17"/>
      <c r="AY126" s="17"/>
    </row>
    <row r="127" spans="1:51" x14ac:dyDescent="0.2">
      <c r="A127" s="21" t="s">
        <v>1186</v>
      </c>
      <c r="B127" s="20">
        <v>1</v>
      </c>
      <c r="C127" s="20">
        <v>1</v>
      </c>
      <c r="D127" s="20">
        <v>45</v>
      </c>
      <c r="E127" s="20">
        <v>25</v>
      </c>
      <c r="F127" s="20"/>
      <c r="G127" s="20"/>
      <c r="H127" s="20"/>
      <c r="I127" s="20"/>
      <c r="J127" s="20"/>
      <c r="K127" s="20">
        <v>953</v>
      </c>
      <c r="L127" s="20"/>
      <c r="M127" s="20"/>
      <c r="N127" s="17"/>
      <c r="O127" s="27" t="s">
        <v>405</v>
      </c>
      <c r="P127" s="50"/>
      <c r="Q127" s="50">
        <v>1</v>
      </c>
      <c r="R127" s="50"/>
      <c r="S127" s="50">
        <v>17</v>
      </c>
      <c r="T127" s="50"/>
      <c r="U127" s="50"/>
      <c r="V127" s="50"/>
      <c r="W127" s="50"/>
      <c r="X127" s="50"/>
      <c r="Y127" s="50">
        <v>100</v>
      </c>
      <c r="Z127" s="50"/>
      <c r="AA127" s="50">
        <v>70</v>
      </c>
      <c r="AB127" s="50">
        <v>131</v>
      </c>
      <c r="AC127" s="50">
        <v>1.6</v>
      </c>
      <c r="AD127" s="50"/>
      <c r="AE127" s="50"/>
      <c r="AF127" s="50" t="s">
        <v>451</v>
      </c>
      <c r="AG127" s="50"/>
      <c r="AH127" s="50"/>
      <c r="AI127" s="17"/>
      <c r="AJ127" s="17"/>
      <c r="AK127" s="17"/>
      <c r="AL127" s="17"/>
      <c r="AM127" s="17"/>
      <c r="AN127" s="17"/>
      <c r="AO127" s="17"/>
      <c r="AP127" s="17"/>
      <c r="AQ127" s="17"/>
      <c r="AR127" s="17"/>
      <c r="AS127" s="17"/>
      <c r="AT127" s="17"/>
      <c r="AU127" s="17"/>
      <c r="AV127" s="17"/>
      <c r="AW127" s="17"/>
      <c r="AX127" s="17"/>
      <c r="AY127" s="17"/>
    </row>
    <row r="128" spans="1:51" x14ac:dyDescent="0.2">
      <c r="A128" s="21" t="s">
        <v>794</v>
      </c>
      <c r="B128" s="20">
        <v>1</v>
      </c>
      <c r="C128" s="20"/>
      <c r="D128" s="20">
        <f>IF(Patch&lt;10,13,16)</f>
        <v>16</v>
      </c>
      <c r="E128" s="20">
        <f>IF(Patch&lt;10,35,33)</f>
        <v>33</v>
      </c>
      <c r="F128" s="20">
        <f>IF(Patch&lt;10,13,14)</f>
        <v>14</v>
      </c>
      <c r="G128" s="20"/>
      <c r="H128" s="20"/>
      <c r="I128" s="20"/>
      <c r="J128" s="20"/>
      <c r="K128" s="20">
        <f>IF(Patch&lt;10,738,875)</f>
        <v>875</v>
      </c>
      <c r="L128" s="20"/>
      <c r="M128" s="20"/>
      <c r="N128" s="17"/>
      <c r="O128" s="27" t="s">
        <v>345</v>
      </c>
      <c r="P128" s="50"/>
      <c r="Q128" s="50"/>
      <c r="R128" s="50"/>
      <c r="S128" s="50"/>
      <c r="T128" s="50"/>
      <c r="U128" s="50"/>
      <c r="V128" s="50"/>
      <c r="W128" s="50"/>
      <c r="X128" s="50"/>
      <c r="Y128" s="50"/>
      <c r="Z128" s="50"/>
      <c r="AA128" s="50">
        <f>IF(Patch&lt;4,89,100)</f>
        <v>100</v>
      </c>
      <c r="AB128" s="50">
        <f>IF(Patch&lt;4,167,187)</f>
        <v>187</v>
      </c>
      <c r="AC128" s="50">
        <f>IF(Patch&lt;4,2.8,2.6)</f>
        <v>2.6</v>
      </c>
      <c r="AD128" s="50">
        <f ca="1">240*VLOOKUP(O128,ProcChance,4,FALSE)*(WhiteMHConnects+YellowConnects+WindfuryConnects+HoJConnects)*(1-MobMitigation)*DeathWishMod*(1+0.02*OneHSpec)*(YellowCrits*2+YellowHits)/100</f>
        <v>16.241176924547521</v>
      </c>
      <c r="AE128" s="50">
        <f ca="1">240*VLOOKUP(O128,ProcChance,4,FALSE)*WhiteOHConnects*(1-MobMitigation)*DeathWishMod*(1+0.02*OneHSpec)*(YellowCrits*2+YellowHits)/100</f>
        <v>8.92470587903696</v>
      </c>
      <c r="AF128" s="50" t="s">
        <v>451</v>
      </c>
      <c r="AG128" s="50">
        <f ca="1">240*VLOOKUP(O128,ProcChance,4,FALSE)*(WhiteMHConnects20+YellowConnects20+WindfuryConnects20+HoJConnects20)*(1-MobMitigation20)*DeathWishMod*(1+0.02*OneHSpec)*(YellowCrits*2+YellowHits)/100</f>
        <v>21.171169988000287</v>
      </c>
      <c r="AH128" s="50">
        <f ca="1">240*VLOOKUP(O128,ProcChance,4,FALSE)*WhiteOHConnects20*(1-MobMitigation20)*DeathWishMod*(1+0.02*OneHSpec)*(YellowCrits*2+YellowHits)/100</f>
        <v>9.0404744544598099</v>
      </c>
      <c r="AI128" s="17"/>
      <c r="AJ128" s="17"/>
      <c r="AK128" s="17"/>
      <c r="AL128" s="17"/>
      <c r="AM128" s="17"/>
      <c r="AN128" s="17"/>
      <c r="AO128" s="17"/>
      <c r="AP128" s="17"/>
      <c r="AQ128" s="17"/>
      <c r="AR128" s="17"/>
      <c r="AS128" s="17"/>
      <c r="AT128" s="17"/>
      <c r="AU128" s="17"/>
      <c r="AV128" s="17"/>
      <c r="AW128" s="17"/>
      <c r="AX128" s="17"/>
      <c r="AY128" s="17"/>
    </row>
    <row r="129" spans="1:51" x14ac:dyDescent="0.2">
      <c r="A129" s="21" t="s">
        <v>770</v>
      </c>
      <c r="B129" s="20">
        <v>1</v>
      </c>
      <c r="C129" s="20"/>
      <c r="D129" s="20">
        <f>IF(Patch&lt;9,9,21)</f>
        <v>21</v>
      </c>
      <c r="E129" s="20">
        <f>IF(Patch&lt;9,25,23)</f>
        <v>23</v>
      </c>
      <c r="F129" s="20">
        <f>IF(Patch&lt;9,6,0)</f>
        <v>0</v>
      </c>
      <c r="G129" s="20"/>
      <c r="H129" s="20"/>
      <c r="I129" s="20"/>
      <c r="J129" s="20"/>
      <c r="K129" s="20">
        <f>IF(Patch&lt;9,657,706)</f>
        <v>706</v>
      </c>
      <c r="L129" s="20"/>
      <c r="M129" s="20"/>
      <c r="N129" s="17"/>
      <c r="O129" s="27" t="s">
        <v>784</v>
      </c>
      <c r="P129" s="50"/>
      <c r="Q129" s="50"/>
      <c r="R129" s="50">
        <v>13</v>
      </c>
      <c r="S129" s="50">
        <v>5</v>
      </c>
      <c r="T129" s="50"/>
      <c r="U129" s="50"/>
      <c r="V129" s="50"/>
      <c r="W129" s="50"/>
      <c r="X129" s="50"/>
      <c r="Y129" s="50"/>
      <c r="Z129" s="50"/>
      <c r="AA129" s="50">
        <v>78</v>
      </c>
      <c r="AB129" s="50">
        <v>146</v>
      </c>
      <c r="AC129" s="50">
        <v>2.7</v>
      </c>
      <c r="AD129" s="50"/>
      <c r="AE129" s="50"/>
      <c r="AF129" s="50" t="s">
        <v>451</v>
      </c>
      <c r="AG129" s="50"/>
      <c r="AH129" s="50"/>
      <c r="AI129" s="17"/>
      <c r="AJ129" s="17"/>
      <c r="AK129" s="17"/>
      <c r="AL129" s="17"/>
      <c r="AM129" s="17"/>
      <c r="AN129" s="17"/>
      <c r="AO129" s="17"/>
      <c r="AP129" s="17"/>
      <c r="AQ129" s="17"/>
      <c r="AR129" s="17"/>
      <c r="AS129" s="17"/>
      <c r="AT129" s="17"/>
      <c r="AU129" s="17"/>
      <c r="AV129" s="17"/>
      <c r="AW129" s="17"/>
      <c r="AX129" s="17"/>
      <c r="AY129" s="17"/>
    </row>
    <row r="130" spans="1:51" ht="12.75" customHeight="1" x14ac:dyDescent="0.2">
      <c r="A130" s="21" t="s">
        <v>211</v>
      </c>
      <c r="B130" s="20">
        <v>1</v>
      </c>
      <c r="C130" s="20"/>
      <c r="D130" s="20"/>
      <c r="E130" s="20">
        <v>19</v>
      </c>
      <c r="F130" s="20"/>
      <c r="G130" s="20">
        <v>58</v>
      </c>
      <c r="H130" s="20"/>
      <c r="I130" s="20"/>
      <c r="J130" s="20"/>
      <c r="K130" s="20">
        <v>416</v>
      </c>
      <c r="L130" s="20"/>
      <c r="M130" s="20"/>
      <c r="N130" s="17"/>
      <c r="O130" s="17"/>
      <c r="P130" s="17"/>
      <c r="Q130" s="17"/>
      <c r="R130" s="17"/>
      <c r="S130" s="17"/>
      <c r="T130" s="17"/>
      <c r="U130" s="17"/>
      <c r="V130" s="17"/>
      <c r="W130" s="17"/>
      <c r="X130" s="17"/>
      <c r="Y130" s="17"/>
      <c r="Z130" s="17"/>
      <c r="AA130" s="17"/>
      <c r="AB130" s="17"/>
      <c r="AC130" s="17"/>
      <c r="AD130" s="17"/>
      <c r="AE130" s="17"/>
      <c r="AF130" s="17"/>
      <c r="AG130" s="17"/>
      <c r="AH130" s="17"/>
      <c r="AI130" s="17"/>
      <c r="AJ130" s="17"/>
      <c r="AK130" s="17"/>
      <c r="AL130" s="17"/>
      <c r="AM130" s="17"/>
      <c r="AN130" s="17"/>
      <c r="AO130" s="17"/>
      <c r="AP130" s="17"/>
      <c r="AQ130" s="17"/>
      <c r="AR130" s="17"/>
      <c r="AS130" s="17"/>
      <c r="AT130" s="17"/>
      <c r="AU130" s="17"/>
      <c r="AV130" s="17"/>
      <c r="AW130" s="17"/>
      <c r="AX130" s="17"/>
      <c r="AY130" s="17"/>
    </row>
    <row r="131" spans="1:51" ht="12.75" customHeight="1" x14ac:dyDescent="0.2">
      <c r="A131" s="21" t="s">
        <v>217</v>
      </c>
      <c r="B131" s="20">
        <v>2</v>
      </c>
      <c r="C131" s="20"/>
      <c r="D131" s="20">
        <f>IF(Patch&lt;10,0,13)</f>
        <v>13</v>
      </c>
      <c r="E131" s="20">
        <v>13</v>
      </c>
      <c r="F131" s="20">
        <f>IF(Patch&lt;10,0,14)</f>
        <v>14</v>
      </c>
      <c r="G131" s="20"/>
      <c r="H131" s="20"/>
      <c r="I131" s="20"/>
      <c r="J131" s="20">
        <f>IF(Patch&lt;10,20,0)</f>
        <v>0</v>
      </c>
      <c r="K131" s="20">
        <v>369</v>
      </c>
      <c r="L131" s="20"/>
      <c r="M131" s="20"/>
      <c r="N131" s="17"/>
      <c r="O131" s="17"/>
      <c r="P131" s="17"/>
      <c r="Q131" s="17"/>
      <c r="R131" s="17"/>
      <c r="S131" s="17"/>
      <c r="T131" s="17"/>
      <c r="U131" s="17"/>
      <c r="V131" s="17"/>
      <c r="W131" s="17"/>
      <c r="X131" s="17"/>
      <c r="Y131" s="17"/>
      <c r="Z131" s="17"/>
      <c r="AA131" s="17"/>
      <c r="AB131" s="17"/>
      <c r="AC131" s="17"/>
      <c r="AD131" s="17"/>
      <c r="AE131" s="17"/>
      <c r="AF131" s="17"/>
      <c r="AG131" s="17"/>
      <c r="AH131" s="17"/>
      <c r="AI131" s="17"/>
      <c r="AJ131" s="17"/>
      <c r="AK131" s="17"/>
      <c r="AL131" s="17"/>
      <c r="AM131" s="17"/>
      <c r="AN131" s="17"/>
      <c r="AO131" s="17"/>
      <c r="AP131" s="17"/>
      <c r="AQ131" s="17"/>
      <c r="AR131" s="17"/>
      <c r="AS131" s="17"/>
      <c r="AT131" s="17"/>
      <c r="AU131" s="17"/>
      <c r="AV131" s="17"/>
      <c r="AW131" s="17"/>
      <c r="AX131" s="17"/>
      <c r="AY131" s="17"/>
    </row>
    <row r="132" spans="1:51" ht="12.75" customHeight="1" x14ac:dyDescent="0.2">
      <c r="A132" s="21" t="s">
        <v>207</v>
      </c>
      <c r="B132" s="20"/>
      <c r="C132" s="20"/>
      <c r="D132" s="20">
        <v>23</v>
      </c>
      <c r="E132" s="20">
        <v>24</v>
      </c>
      <c r="F132" s="20">
        <v>15</v>
      </c>
      <c r="G132" s="20"/>
      <c r="H132" s="20"/>
      <c r="I132" s="20"/>
      <c r="J132" s="20">
        <v>4</v>
      </c>
      <c r="K132" s="20">
        <v>828</v>
      </c>
      <c r="L132" s="20"/>
      <c r="M132" s="20"/>
      <c r="N132" s="17"/>
      <c r="O132" s="171" t="s">
        <v>1054</v>
      </c>
      <c r="P132" s="171"/>
      <c r="Q132" s="171"/>
      <c r="R132" s="171"/>
      <c r="S132" s="171"/>
      <c r="T132" s="171"/>
      <c r="U132" s="171"/>
      <c r="V132" s="171"/>
      <c r="W132" s="171"/>
      <c r="X132" s="171"/>
      <c r="Y132" s="171"/>
      <c r="Z132" s="171"/>
      <c r="AA132" s="171"/>
      <c r="AB132" s="171"/>
      <c r="AC132" s="171"/>
      <c r="AD132" s="171"/>
      <c r="AE132" s="171"/>
      <c r="AF132" s="171"/>
      <c r="AG132" s="17"/>
      <c r="AH132" s="17"/>
      <c r="AI132" s="17"/>
      <c r="AJ132" s="17"/>
      <c r="AK132" s="17"/>
      <c r="AL132" s="17"/>
      <c r="AM132" s="17"/>
      <c r="AN132" s="17"/>
      <c r="AO132" s="17"/>
      <c r="AP132" s="17"/>
      <c r="AQ132" s="17"/>
      <c r="AR132" s="17"/>
      <c r="AS132" s="17"/>
      <c r="AT132" s="17"/>
      <c r="AU132" s="17"/>
      <c r="AV132" s="17"/>
      <c r="AW132" s="17"/>
      <c r="AX132" s="17"/>
      <c r="AY132" s="17"/>
    </row>
    <row r="133" spans="1:51" ht="12.75" customHeight="1" x14ac:dyDescent="0.2">
      <c r="A133" s="21" t="s">
        <v>659</v>
      </c>
      <c r="B133" s="20">
        <v>2</v>
      </c>
      <c r="C133" s="20"/>
      <c r="D133" s="20">
        <f>IF(Patch&lt;10,4,10)</f>
        <v>10</v>
      </c>
      <c r="E133" s="20">
        <v>10</v>
      </c>
      <c r="F133" s="20"/>
      <c r="G133" s="20"/>
      <c r="H133" s="20"/>
      <c r="I133" s="20"/>
      <c r="J133" s="20"/>
      <c r="K133" s="20">
        <v>174</v>
      </c>
      <c r="L133" s="20"/>
      <c r="M133" s="20"/>
      <c r="N133" s="17"/>
      <c r="O133" s="173"/>
      <c r="P133" s="173"/>
      <c r="Q133" s="173"/>
      <c r="R133" s="173"/>
      <c r="S133" s="173"/>
      <c r="T133" s="173"/>
      <c r="U133" s="173"/>
      <c r="V133" s="173"/>
      <c r="W133" s="173"/>
      <c r="X133" s="173"/>
      <c r="Y133" s="173"/>
      <c r="Z133" s="173"/>
      <c r="AA133" s="173"/>
      <c r="AB133" s="173"/>
      <c r="AC133" s="173"/>
      <c r="AD133" s="173"/>
      <c r="AE133" s="173"/>
      <c r="AF133" s="173"/>
      <c r="AG133" s="17"/>
      <c r="AH133" s="17"/>
      <c r="AI133" s="17"/>
      <c r="AJ133" s="17"/>
      <c r="AK133" s="17"/>
      <c r="AL133" s="17"/>
      <c r="AM133" s="17"/>
      <c r="AN133" s="17"/>
      <c r="AO133" s="17"/>
      <c r="AP133" s="17"/>
      <c r="AQ133" s="17"/>
      <c r="AR133" s="17"/>
      <c r="AS133" s="17"/>
      <c r="AT133" s="17"/>
      <c r="AU133" s="17"/>
      <c r="AV133" s="17"/>
      <c r="AW133" s="17"/>
      <c r="AX133" s="17"/>
      <c r="AY133" s="17"/>
    </row>
    <row r="134" spans="1:51" x14ac:dyDescent="0.2">
      <c r="A134" s="21" t="s">
        <v>210</v>
      </c>
      <c r="B134" s="20"/>
      <c r="C134" s="20"/>
      <c r="D134" s="20">
        <v>21</v>
      </c>
      <c r="E134" s="20">
        <v>20</v>
      </c>
      <c r="F134" s="20">
        <v>41</v>
      </c>
      <c r="G134" s="20"/>
      <c r="H134" s="20"/>
      <c r="I134" s="20"/>
      <c r="J134" s="20"/>
      <c r="K134" s="20">
        <v>229</v>
      </c>
      <c r="L134" s="20"/>
      <c r="M134" s="20"/>
      <c r="N134" s="17"/>
      <c r="O134" s="25" t="s">
        <v>0</v>
      </c>
      <c r="P134" s="25" t="s">
        <v>1</v>
      </c>
      <c r="Q134" s="25" t="s">
        <v>2</v>
      </c>
      <c r="R134" s="25" t="s">
        <v>3</v>
      </c>
      <c r="S134" s="25" t="s">
        <v>4</v>
      </c>
      <c r="T134" s="25" t="s">
        <v>5</v>
      </c>
      <c r="U134" s="25" t="s">
        <v>6</v>
      </c>
      <c r="V134" s="25" t="s">
        <v>140</v>
      </c>
      <c r="W134" s="25" t="s">
        <v>156</v>
      </c>
      <c r="X134" s="25" t="s">
        <v>157</v>
      </c>
      <c r="Y134" s="25" t="s">
        <v>7</v>
      </c>
      <c r="Z134" s="25" t="s">
        <v>122</v>
      </c>
      <c r="AA134" s="25" t="s">
        <v>284</v>
      </c>
      <c r="AB134" s="25" t="s">
        <v>285</v>
      </c>
      <c r="AC134" s="25" t="s">
        <v>8</v>
      </c>
      <c r="AD134" s="25" t="s">
        <v>500</v>
      </c>
      <c r="AE134" s="25" t="s">
        <v>1049</v>
      </c>
      <c r="AF134" s="25" t="s">
        <v>735</v>
      </c>
      <c r="AG134" s="17"/>
      <c r="AH134" s="17"/>
      <c r="AI134" s="17"/>
      <c r="AJ134" s="17"/>
      <c r="AK134" s="17"/>
      <c r="AL134" s="17"/>
      <c r="AM134" s="17"/>
      <c r="AN134" s="17"/>
      <c r="AO134" s="17"/>
      <c r="AP134" s="17"/>
      <c r="AQ134" s="17"/>
      <c r="AR134" s="17"/>
      <c r="AS134" s="17"/>
      <c r="AT134" s="17"/>
      <c r="AU134" s="17"/>
      <c r="AV134" s="17"/>
      <c r="AW134" s="17"/>
      <c r="AX134" s="17"/>
      <c r="AY134" s="17"/>
    </row>
    <row r="135" spans="1:51" x14ac:dyDescent="0.2">
      <c r="A135" s="145"/>
      <c r="B135" s="146"/>
      <c r="C135" s="146"/>
      <c r="D135" s="146"/>
      <c r="E135" s="146"/>
      <c r="F135" s="146"/>
      <c r="G135" s="146"/>
      <c r="H135" s="146"/>
      <c r="I135" s="146"/>
      <c r="J135" s="146"/>
      <c r="K135" s="146"/>
      <c r="L135" s="146"/>
      <c r="M135" s="146"/>
      <c r="N135" s="17"/>
      <c r="O135" s="26" t="s">
        <v>393</v>
      </c>
      <c r="P135" s="50"/>
      <c r="Q135" s="50"/>
      <c r="R135" s="50"/>
      <c r="S135" s="50"/>
      <c r="T135" s="50"/>
      <c r="U135" s="50"/>
      <c r="V135" s="50"/>
      <c r="W135" s="50"/>
      <c r="X135" s="50"/>
      <c r="Y135" s="50"/>
      <c r="Z135" s="50"/>
      <c r="AA135" s="50"/>
      <c r="AB135" s="50"/>
      <c r="AC135" s="50"/>
      <c r="AD135" s="50"/>
      <c r="AE135" s="50"/>
      <c r="AF135" s="50"/>
      <c r="AG135" s="17"/>
      <c r="AH135" s="17"/>
      <c r="AI135" s="17"/>
      <c r="AJ135" s="17"/>
      <c r="AK135" s="17"/>
      <c r="AL135" s="17"/>
      <c r="AM135" s="17"/>
      <c r="AN135" s="17"/>
      <c r="AO135" s="17"/>
      <c r="AP135" s="17"/>
      <c r="AQ135" s="17"/>
      <c r="AR135" s="17"/>
      <c r="AS135" s="17"/>
      <c r="AT135" s="17"/>
      <c r="AU135" s="17"/>
      <c r="AV135" s="17"/>
      <c r="AW135" s="17"/>
      <c r="AX135" s="17"/>
      <c r="AY135" s="17"/>
    </row>
    <row r="136" spans="1:51" x14ac:dyDescent="0.2">
      <c r="A136" s="17"/>
      <c r="B136" s="17"/>
      <c r="C136" s="17"/>
      <c r="D136" s="17"/>
      <c r="E136" s="17"/>
      <c r="F136" s="17"/>
      <c r="G136" s="17"/>
      <c r="H136" s="17"/>
      <c r="I136" s="17"/>
      <c r="J136" s="17"/>
      <c r="K136" s="17"/>
      <c r="L136" s="17"/>
      <c r="M136" s="17"/>
      <c r="N136" s="17"/>
      <c r="O136" s="30" t="s">
        <v>1050</v>
      </c>
      <c r="P136" s="51"/>
      <c r="Q136" s="51"/>
      <c r="R136" s="51"/>
      <c r="S136" s="51"/>
      <c r="T136" s="51"/>
      <c r="U136" s="51"/>
      <c r="V136" s="51"/>
      <c r="W136" s="51"/>
      <c r="X136" s="51"/>
      <c r="Y136" s="51"/>
      <c r="Z136" s="51"/>
      <c r="AA136" s="51"/>
      <c r="AB136" s="51"/>
      <c r="AC136" s="51"/>
      <c r="AD136" s="51"/>
      <c r="AE136" s="51"/>
      <c r="AF136" s="51"/>
      <c r="AG136" s="17"/>
      <c r="AH136" s="17"/>
      <c r="AI136" s="17"/>
      <c r="AJ136" s="17"/>
      <c r="AK136" s="17"/>
      <c r="AL136" s="17"/>
      <c r="AM136" s="17"/>
      <c r="AN136" s="17"/>
      <c r="AO136" s="17"/>
      <c r="AP136" s="17"/>
      <c r="AQ136" s="17"/>
      <c r="AR136" s="17"/>
      <c r="AS136" s="17"/>
      <c r="AT136" s="17"/>
      <c r="AU136" s="17"/>
      <c r="AV136" s="17"/>
      <c r="AW136" s="17"/>
      <c r="AX136" s="17"/>
      <c r="AY136" s="17"/>
    </row>
    <row r="137" spans="1:51" x14ac:dyDescent="0.2">
      <c r="A137" s="17"/>
      <c r="B137" s="17"/>
      <c r="C137" s="17"/>
      <c r="D137" s="17"/>
      <c r="E137" s="17"/>
      <c r="F137" s="17"/>
      <c r="G137" s="17"/>
      <c r="H137" s="17"/>
      <c r="I137" s="17"/>
      <c r="J137" s="17"/>
      <c r="K137" s="17"/>
      <c r="L137" s="17"/>
      <c r="M137" s="17"/>
      <c r="N137" s="17"/>
      <c r="O137" s="43" t="s">
        <v>1026</v>
      </c>
      <c r="P137" s="31"/>
      <c r="Q137" s="31"/>
      <c r="R137" s="31"/>
      <c r="S137" s="31"/>
      <c r="T137" s="31"/>
      <c r="U137" s="31"/>
      <c r="V137" s="31"/>
      <c r="W137" s="31"/>
      <c r="X137" s="31"/>
      <c r="Y137" s="31"/>
      <c r="Z137" s="31"/>
      <c r="AA137" s="31"/>
      <c r="AB137" s="31"/>
      <c r="AC137" s="31"/>
      <c r="AD137" s="31"/>
      <c r="AE137" s="31"/>
      <c r="AF137" s="31"/>
      <c r="AG137" s="17"/>
      <c r="AH137" s="17"/>
      <c r="AI137" s="17"/>
      <c r="AJ137" s="17"/>
      <c r="AK137" s="17"/>
      <c r="AL137" s="17"/>
      <c r="AM137" s="17"/>
      <c r="AN137" s="17"/>
      <c r="AO137" s="17"/>
      <c r="AP137" s="17"/>
      <c r="AQ137" s="17"/>
      <c r="AR137" s="17"/>
      <c r="AS137" s="17"/>
      <c r="AT137" s="17"/>
      <c r="AU137" s="17"/>
      <c r="AV137" s="17"/>
      <c r="AW137" s="17"/>
      <c r="AX137" s="17"/>
      <c r="AY137" s="17"/>
    </row>
    <row r="138" spans="1:51" ht="12.75" customHeight="1" x14ac:dyDescent="0.2">
      <c r="A138" s="171" t="s">
        <v>1051</v>
      </c>
      <c r="B138" s="171"/>
      <c r="C138" s="171"/>
      <c r="D138" s="171"/>
      <c r="E138" s="171"/>
      <c r="F138" s="171"/>
      <c r="G138" s="171"/>
      <c r="H138" s="171"/>
      <c r="I138" s="171"/>
      <c r="J138" s="171"/>
      <c r="K138" s="171"/>
      <c r="L138" s="171"/>
      <c r="M138" s="171"/>
      <c r="N138" s="17"/>
      <c r="O138" s="33" t="s">
        <v>282</v>
      </c>
      <c r="P138" s="34"/>
      <c r="Q138" s="34"/>
      <c r="R138" s="34"/>
      <c r="S138" s="34"/>
      <c r="T138" s="34"/>
      <c r="U138" s="34"/>
      <c r="V138" s="34"/>
      <c r="W138" s="34"/>
      <c r="X138" s="34"/>
      <c r="Y138" s="34"/>
      <c r="Z138" s="34"/>
      <c r="AA138" s="34"/>
      <c r="AB138" s="34"/>
      <c r="AC138" s="34"/>
      <c r="AD138" s="34"/>
      <c r="AE138" s="34"/>
      <c r="AF138" s="34"/>
      <c r="AG138" s="17"/>
      <c r="AH138" s="17"/>
      <c r="AI138" s="17"/>
      <c r="AJ138" s="17"/>
      <c r="AK138" s="17"/>
      <c r="AL138" s="17"/>
      <c r="AM138" s="17"/>
      <c r="AN138" s="17"/>
      <c r="AO138" s="17"/>
      <c r="AP138" s="17"/>
      <c r="AQ138" s="17"/>
      <c r="AR138" s="17"/>
      <c r="AS138" s="17"/>
      <c r="AT138" s="17"/>
      <c r="AU138" s="17"/>
      <c r="AV138" s="17"/>
      <c r="AW138" s="17"/>
      <c r="AX138" s="17"/>
      <c r="AY138" s="17"/>
    </row>
    <row r="139" spans="1:51" ht="12.75" customHeight="1" x14ac:dyDescent="0.2">
      <c r="A139" s="172"/>
      <c r="B139" s="172"/>
      <c r="C139" s="172"/>
      <c r="D139" s="172"/>
      <c r="E139" s="172"/>
      <c r="F139" s="172"/>
      <c r="G139" s="172"/>
      <c r="H139" s="172"/>
      <c r="I139" s="172"/>
      <c r="J139" s="172"/>
      <c r="K139" s="172"/>
      <c r="L139" s="172"/>
      <c r="M139" s="172"/>
      <c r="N139" s="17"/>
      <c r="O139" s="36" t="s">
        <v>1026</v>
      </c>
      <c r="P139" s="37"/>
      <c r="Q139" s="37"/>
      <c r="R139" s="37"/>
      <c r="S139" s="37"/>
      <c r="T139" s="37"/>
      <c r="U139" s="37"/>
      <c r="V139" s="37"/>
      <c r="W139" s="37"/>
      <c r="X139" s="37"/>
      <c r="Y139" s="37"/>
      <c r="Z139" s="37"/>
      <c r="AA139" s="37"/>
      <c r="AB139" s="37"/>
      <c r="AC139" s="37"/>
      <c r="AD139" s="37"/>
      <c r="AE139" s="37"/>
      <c r="AF139" s="37"/>
      <c r="AG139" s="17"/>
      <c r="AH139" s="17"/>
      <c r="AI139" s="17"/>
      <c r="AJ139" s="17"/>
      <c r="AK139" s="17"/>
      <c r="AL139" s="17"/>
      <c r="AM139" s="17"/>
      <c r="AN139" s="17"/>
      <c r="AO139" s="17"/>
      <c r="AP139" s="17"/>
      <c r="AQ139" s="17"/>
      <c r="AR139" s="17"/>
      <c r="AS139" s="17"/>
      <c r="AT139" s="17"/>
      <c r="AU139" s="17"/>
      <c r="AV139" s="17"/>
      <c r="AW139" s="17"/>
      <c r="AX139" s="17"/>
      <c r="AY139" s="17"/>
    </row>
    <row r="140" spans="1:51" x14ac:dyDescent="0.2">
      <c r="A140" s="22" t="s">
        <v>0</v>
      </c>
      <c r="B140" s="22" t="s">
        <v>1</v>
      </c>
      <c r="C140" s="22" t="s">
        <v>2</v>
      </c>
      <c r="D140" s="22" t="s">
        <v>3</v>
      </c>
      <c r="E140" s="22" t="s">
        <v>4</v>
      </c>
      <c r="F140" s="22" t="s">
        <v>5</v>
      </c>
      <c r="G140" s="22" t="s">
        <v>6</v>
      </c>
      <c r="H140" s="22" t="s">
        <v>140</v>
      </c>
      <c r="I140" s="22" t="s">
        <v>156</v>
      </c>
      <c r="J140" s="22" t="s">
        <v>157</v>
      </c>
      <c r="K140" s="22" t="s">
        <v>7</v>
      </c>
      <c r="L140" s="22" t="s">
        <v>122</v>
      </c>
      <c r="M140" s="22" t="s">
        <v>1049</v>
      </c>
      <c r="N140" s="17"/>
      <c r="O140" s="28" t="s">
        <v>420</v>
      </c>
      <c r="P140" s="52"/>
      <c r="Q140" s="52"/>
      <c r="R140" s="52"/>
      <c r="S140" s="52">
        <v>13</v>
      </c>
      <c r="T140" s="52"/>
      <c r="U140" s="52">
        <v>62</v>
      </c>
      <c r="V140" s="52"/>
      <c r="W140" s="52"/>
      <c r="X140" s="52"/>
      <c r="Y140" s="52"/>
      <c r="Z140" s="52"/>
      <c r="AA140" s="52">
        <v>153</v>
      </c>
      <c r="AB140" s="52">
        <v>256</v>
      </c>
      <c r="AC140" s="52">
        <v>3.8</v>
      </c>
      <c r="AD140" s="52"/>
      <c r="AE140" s="52" t="s">
        <v>569</v>
      </c>
      <c r="AF140" s="52"/>
      <c r="AG140" s="17"/>
      <c r="AH140" s="17"/>
      <c r="AI140" s="17"/>
      <c r="AJ140" s="17"/>
      <c r="AK140" s="17"/>
      <c r="AL140" s="17"/>
      <c r="AM140" s="17"/>
      <c r="AN140" s="17"/>
      <c r="AO140" s="17"/>
      <c r="AP140" s="17"/>
      <c r="AQ140" s="17"/>
      <c r="AR140" s="17"/>
      <c r="AS140" s="17"/>
      <c r="AT140" s="17"/>
      <c r="AU140" s="17"/>
      <c r="AV140" s="17"/>
      <c r="AW140" s="17"/>
      <c r="AX140" s="17"/>
      <c r="AY140" s="17"/>
    </row>
    <row r="141" spans="1:51" x14ac:dyDescent="0.2">
      <c r="A141" s="21" t="s">
        <v>393</v>
      </c>
      <c r="B141" s="19"/>
      <c r="C141" s="19"/>
      <c r="D141" s="19"/>
      <c r="E141" s="19"/>
      <c r="F141" s="19"/>
      <c r="G141" s="19"/>
      <c r="H141" s="19"/>
      <c r="I141" s="19"/>
      <c r="J141" s="19"/>
      <c r="K141" s="19"/>
      <c r="L141" s="19"/>
      <c r="M141" s="19"/>
      <c r="N141" s="17"/>
      <c r="O141" s="27" t="s">
        <v>424</v>
      </c>
      <c r="P141" s="50"/>
      <c r="Q141" s="50"/>
      <c r="R141" s="50"/>
      <c r="S141" s="50"/>
      <c r="T141" s="50"/>
      <c r="U141" s="50"/>
      <c r="V141" s="50"/>
      <c r="W141" s="50"/>
      <c r="X141" s="50"/>
      <c r="Y141" s="50"/>
      <c r="Z141" s="50"/>
      <c r="AA141" s="50">
        <v>95</v>
      </c>
      <c r="AB141" s="50">
        <v>143</v>
      </c>
      <c r="AC141" s="50">
        <v>2.1</v>
      </c>
      <c r="AD141" s="50">
        <f ca="1">250*VLOOKUP(O141,ProcChance,4,FALSE)*(WhiteMHConnects+YellowConnects+WindfuryConnects+HoJConnects)*(1-MobMitigation)*DeathWishMod*(1+IF(Base2HSpeed&gt;0,0.01*THSpec,0))*(YellowCrits*2+YellowHits)/100</f>
        <v>10.020597942228841</v>
      </c>
      <c r="AE141" s="50" t="s">
        <v>569</v>
      </c>
      <c r="AF141" s="50">
        <f ca="1">250*VLOOKUP(O141,ProcChance,4,FALSE)*(WhiteMHConnects20+YellowConnects20+WindfuryConnects20+HoJConnects20)*(1-MobMitigation20)*DeathWishMod*(1+IF(Base2HSpeed&gt;0,0.01*THSpec,0))*(YellowCrits*2+YellowHits)/100</f>
        <v>13.062340457339921</v>
      </c>
      <c r="AG141" s="17"/>
      <c r="AH141" s="17"/>
      <c r="AI141" s="17"/>
      <c r="AJ141" s="17"/>
      <c r="AK141" s="17"/>
      <c r="AL141" s="17"/>
      <c r="AM141" s="17"/>
      <c r="AN141" s="17"/>
      <c r="AO141" s="17"/>
      <c r="AP141" s="17"/>
      <c r="AQ141" s="17"/>
      <c r="AR141" s="17"/>
      <c r="AS141" s="17"/>
      <c r="AT141" s="17"/>
      <c r="AU141" s="17"/>
      <c r="AV141" s="17"/>
      <c r="AW141" s="17"/>
      <c r="AX141" s="17"/>
      <c r="AY141" s="17"/>
    </row>
    <row r="142" spans="1:51" x14ac:dyDescent="0.2">
      <c r="A142" s="21" t="s">
        <v>1050</v>
      </c>
      <c r="B142" s="19"/>
      <c r="C142" s="19"/>
      <c r="D142" s="19"/>
      <c r="E142" s="19"/>
      <c r="F142" s="19"/>
      <c r="G142" s="19"/>
      <c r="H142" s="19"/>
      <c r="I142" s="19"/>
      <c r="J142" s="19"/>
      <c r="K142" s="19"/>
      <c r="L142" s="19"/>
      <c r="M142" s="19"/>
      <c r="N142" s="17"/>
      <c r="O142" s="27" t="s">
        <v>95</v>
      </c>
      <c r="P142" s="50"/>
      <c r="Q142" s="50"/>
      <c r="R142" s="50">
        <v>35</v>
      </c>
      <c r="S142" s="50">
        <v>25</v>
      </c>
      <c r="T142" s="50">
        <v>19</v>
      </c>
      <c r="U142" s="50"/>
      <c r="V142" s="50"/>
      <c r="W142" s="50"/>
      <c r="X142" s="50"/>
      <c r="Y142" s="50"/>
      <c r="Z142" s="50"/>
      <c r="AA142" s="50">
        <v>242</v>
      </c>
      <c r="AB142" s="50">
        <v>364</v>
      </c>
      <c r="AC142" s="50">
        <v>3.5</v>
      </c>
      <c r="AD142" s="50"/>
      <c r="AE142" s="50" t="s">
        <v>569</v>
      </c>
      <c r="AF142" s="50"/>
      <c r="AG142" s="17"/>
      <c r="AH142" s="17"/>
      <c r="AI142" s="17"/>
      <c r="AJ142" s="17"/>
      <c r="AK142" s="17"/>
      <c r="AL142" s="17"/>
      <c r="AM142" s="17"/>
      <c r="AN142" s="17"/>
      <c r="AO142" s="17"/>
      <c r="AP142" s="17"/>
      <c r="AQ142" s="17"/>
      <c r="AR142" s="17"/>
      <c r="AS142" s="17"/>
      <c r="AT142" s="17"/>
      <c r="AU142" s="17"/>
      <c r="AV142" s="17"/>
      <c r="AW142" s="17"/>
      <c r="AX142" s="17"/>
      <c r="AY142" s="17"/>
    </row>
    <row r="143" spans="1:51" x14ac:dyDescent="0.2">
      <c r="A143" s="21" t="s">
        <v>221</v>
      </c>
      <c r="B143" s="20"/>
      <c r="C143" s="20"/>
      <c r="D143" s="20">
        <v>11</v>
      </c>
      <c r="E143" s="20">
        <v>11</v>
      </c>
      <c r="F143" s="20">
        <v>12</v>
      </c>
      <c r="G143" s="20"/>
      <c r="H143" s="20"/>
      <c r="I143" s="20"/>
      <c r="J143" s="20"/>
      <c r="K143" s="20">
        <v>309</v>
      </c>
      <c r="L143" s="20"/>
      <c r="M143" s="20"/>
      <c r="N143" s="17"/>
      <c r="O143" s="27" t="s">
        <v>415</v>
      </c>
      <c r="P143" s="50"/>
      <c r="Q143" s="50"/>
      <c r="R143" s="50">
        <v>21</v>
      </c>
      <c r="S143" s="50">
        <v>18</v>
      </c>
      <c r="T143" s="50"/>
      <c r="U143" s="50"/>
      <c r="V143" s="50"/>
      <c r="W143" s="50">
        <v>2</v>
      </c>
      <c r="X143" s="50"/>
      <c r="Y143" s="50"/>
      <c r="Z143" s="50"/>
      <c r="AA143" s="50">
        <v>174</v>
      </c>
      <c r="AB143" s="50">
        <v>262</v>
      </c>
      <c r="AC143" s="50">
        <v>3.2</v>
      </c>
      <c r="AD143" s="50"/>
      <c r="AE143" s="50" t="s">
        <v>569</v>
      </c>
      <c r="AF143" s="50"/>
      <c r="AG143" s="17"/>
      <c r="AH143" s="17"/>
      <c r="AI143" s="17"/>
      <c r="AJ143" s="17"/>
      <c r="AK143" s="17"/>
      <c r="AL143" s="17"/>
      <c r="AM143" s="17"/>
      <c r="AN143" s="17"/>
      <c r="AO143" s="17"/>
      <c r="AP143" s="17"/>
      <c r="AQ143" s="17"/>
      <c r="AR143" s="17"/>
      <c r="AS143" s="17"/>
      <c r="AT143" s="17"/>
      <c r="AU143" s="17"/>
      <c r="AV143" s="17"/>
      <c r="AW143" s="17"/>
      <c r="AX143" s="17"/>
      <c r="AY143" s="17"/>
    </row>
    <row r="144" spans="1:51" x14ac:dyDescent="0.2">
      <c r="A144" s="21" t="s">
        <v>225</v>
      </c>
      <c r="B144" s="20">
        <v>1</v>
      </c>
      <c r="C144" s="20">
        <v>1</v>
      </c>
      <c r="D144" s="20"/>
      <c r="E144" s="20"/>
      <c r="F144" s="20"/>
      <c r="G144" s="20"/>
      <c r="H144" s="20"/>
      <c r="I144" s="20"/>
      <c r="J144" s="20"/>
      <c r="K144" s="20">
        <v>287</v>
      </c>
      <c r="L144" s="20"/>
      <c r="M144" s="20"/>
      <c r="N144" s="17"/>
      <c r="O144" s="27" t="s">
        <v>414</v>
      </c>
      <c r="P144" s="50"/>
      <c r="Q144" s="50"/>
      <c r="R144" s="50">
        <v>22</v>
      </c>
      <c r="S144" s="50">
        <v>17</v>
      </c>
      <c r="T144" s="50"/>
      <c r="U144" s="50"/>
      <c r="V144" s="50"/>
      <c r="W144" s="50"/>
      <c r="X144" s="50"/>
      <c r="Y144" s="50"/>
      <c r="Z144" s="50"/>
      <c r="AA144" s="50">
        <v>199</v>
      </c>
      <c r="AB144" s="50">
        <v>300</v>
      </c>
      <c r="AC144" s="50">
        <v>3.4</v>
      </c>
      <c r="AD144" s="50">
        <f ca="1">240*VLOOKUP(O144,ProcChance,4,FALSE)*(WhiteMHConnects+YellowConnects+WindfuryConnects+HoJConnects)*(1-MobMitigation)*DeathWishMod*(1+IF(Base2HSpeed&gt;0,0.01*THSpec,0))*(YellowCrits*2+YellowHits)/100</f>
        <v>21.238462132100597</v>
      </c>
      <c r="AE144" s="50" t="s">
        <v>569</v>
      </c>
      <c r="AF144" s="50">
        <f ca="1">240*VLOOKUP(O144,ProcChance,4,FALSE)*(WhiteMHConnects20+YellowConnects20+WindfuryConnects20+HoJConnects20)*(1-MobMitigation20)*DeathWishMod*(1+IF(Base2HSpeed&gt;0,0.01*THSpec,0))*(YellowCrits*2+YellowHits)/100</f>
        <v>27.685376138154215</v>
      </c>
      <c r="AG144" s="17"/>
      <c r="AH144" s="17"/>
      <c r="AI144" s="17"/>
      <c r="AJ144" s="17"/>
      <c r="AK144" s="17"/>
      <c r="AL144" s="17"/>
      <c r="AM144" s="17"/>
      <c r="AN144" s="17"/>
      <c r="AO144" s="17"/>
      <c r="AP144" s="17"/>
      <c r="AQ144" s="17"/>
      <c r="AR144" s="17"/>
      <c r="AS144" s="17"/>
      <c r="AT144" s="17"/>
      <c r="AU144" s="17"/>
      <c r="AV144" s="17"/>
      <c r="AW144" s="17"/>
      <c r="AX144" s="17"/>
      <c r="AY144" s="17"/>
    </row>
    <row r="145" spans="1:51" x14ac:dyDescent="0.2">
      <c r="A145" s="21" t="s">
        <v>223</v>
      </c>
      <c r="B145" s="20"/>
      <c r="C145" s="20"/>
      <c r="D145" s="20">
        <v>19</v>
      </c>
      <c r="E145" s="20">
        <v>11</v>
      </c>
      <c r="F145" s="20">
        <v>8</v>
      </c>
      <c r="G145" s="20"/>
      <c r="H145" s="20"/>
      <c r="I145" s="20"/>
      <c r="J145" s="20"/>
      <c r="K145" s="20">
        <v>323</v>
      </c>
      <c r="L145" s="20"/>
      <c r="M145" s="20"/>
      <c r="N145" s="17"/>
      <c r="O145" s="27" t="s">
        <v>426</v>
      </c>
      <c r="P145" s="50">
        <v>1</v>
      </c>
      <c r="Q145" s="50"/>
      <c r="R145" s="50"/>
      <c r="S145" s="50"/>
      <c r="T145" s="50"/>
      <c r="U145" s="50">
        <v>30</v>
      </c>
      <c r="V145" s="50"/>
      <c r="W145" s="50">
        <v>1</v>
      </c>
      <c r="X145" s="50"/>
      <c r="Y145" s="50"/>
      <c r="Z145" s="50"/>
      <c r="AA145" s="50">
        <v>149</v>
      </c>
      <c r="AB145" s="50">
        <v>225</v>
      </c>
      <c r="AC145" s="50">
        <v>3.7</v>
      </c>
      <c r="AD145" s="50"/>
      <c r="AE145" s="50" t="s">
        <v>569</v>
      </c>
      <c r="AF145" s="50"/>
      <c r="AG145" s="17"/>
      <c r="AH145" s="17"/>
      <c r="AI145" s="17"/>
      <c r="AJ145" s="17"/>
      <c r="AK145" s="17"/>
      <c r="AL145" s="17"/>
      <c r="AM145" s="17"/>
      <c r="AN145" s="17"/>
      <c r="AO145" s="17"/>
      <c r="AP145" s="17"/>
      <c r="AQ145" s="17"/>
      <c r="AR145" s="17"/>
      <c r="AS145" s="17"/>
      <c r="AT145" s="17"/>
      <c r="AU145" s="17"/>
      <c r="AV145" s="17"/>
      <c r="AW145" s="17"/>
      <c r="AX145" s="17"/>
      <c r="AY145" s="17"/>
    </row>
    <row r="146" spans="1:51" x14ac:dyDescent="0.2">
      <c r="A146" s="21" t="s">
        <v>219</v>
      </c>
      <c r="B146" s="20"/>
      <c r="C146" s="20"/>
      <c r="D146" s="20">
        <v>13</v>
      </c>
      <c r="E146" s="20">
        <v>27</v>
      </c>
      <c r="F146" s="20"/>
      <c r="G146" s="20"/>
      <c r="H146" s="20"/>
      <c r="I146" s="20"/>
      <c r="J146" s="20"/>
      <c r="K146" s="20">
        <v>375</v>
      </c>
      <c r="L146" s="20"/>
      <c r="M146" s="20"/>
      <c r="N146" s="17"/>
      <c r="O146" s="27" t="s">
        <v>422</v>
      </c>
      <c r="P146" s="50"/>
      <c r="Q146" s="50"/>
      <c r="R146" s="50"/>
      <c r="S146" s="50"/>
      <c r="T146" s="50"/>
      <c r="U146" s="50"/>
      <c r="V146" s="50"/>
      <c r="W146" s="50"/>
      <c r="X146" s="50"/>
      <c r="Y146" s="50"/>
      <c r="Z146" s="50"/>
      <c r="AA146" s="50">
        <v>144</v>
      </c>
      <c r="AB146" s="50">
        <v>217</v>
      </c>
      <c r="AC146" s="50">
        <v>3.4</v>
      </c>
      <c r="AD146" s="50"/>
      <c r="AE146" s="50" t="s">
        <v>569</v>
      </c>
      <c r="AF146" s="50"/>
      <c r="AG146" s="17"/>
      <c r="AH146" s="17"/>
      <c r="AI146" s="17"/>
      <c r="AJ146" s="17"/>
      <c r="AK146" s="17"/>
      <c r="AL146" s="17"/>
      <c r="AM146" s="17"/>
      <c r="AN146" s="17"/>
      <c r="AO146" s="17"/>
      <c r="AP146" s="17"/>
      <c r="AQ146" s="17"/>
      <c r="AR146" s="17"/>
      <c r="AS146" s="17"/>
      <c r="AT146" s="17"/>
      <c r="AU146" s="17"/>
      <c r="AV146" s="17"/>
      <c r="AW146" s="17"/>
      <c r="AX146" s="17"/>
      <c r="AY146" s="17"/>
    </row>
    <row r="147" spans="1:51" x14ac:dyDescent="0.2">
      <c r="A147" s="21" t="s">
        <v>101</v>
      </c>
      <c r="B147" s="20"/>
      <c r="C147" s="20"/>
      <c r="D147" s="20">
        <v>21</v>
      </c>
      <c r="E147" s="20">
        <v>9</v>
      </c>
      <c r="F147" s="20">
        <v>12</v>
      </c>
      <c r="G147" s="20"/>
      <c r="H147" s="20"/>
      <c r="I147" s="20"/>
      <c r="J147" s="20"/>
      <c r="K147" s="20">
        <v>356</v>
      </c>
      <c r="L147" s="20"/>
      <c r="M147" s="20"/>
      <c r="N147" s="17"/>
      <c r="O147" s="27" t="s">
        <v>419</v>
      </c>
      <c r="P147" s="50"/>
      <c r="Q147" s="50"/>
      <c r="R147" s="50"/>
      <c r="S147" s="50"/>
      <c r="T147" s="50"/>
      <c r="U147" s="50"/>
      <c r="V147" s="50"/>
      <c r="W147" s="50"/>
      <c r="X147" s="50"/>
      <c r="Y147" s="50"/>
      <c r="Z147" s="50"/>
      <c r="AA147" s="50">
        <v>182</v>
      </c>
      <c r="AB147" s="50">
        <v>274</v>
      </c>
      <c r="AC147" s="50">
        <v>3.9</v>
      </c>
      <c r="AD147" s="50"/>
      <c r="AE147" s="50" t="s">
        <v>569</v>
      </c>
      <c r="AF147" s="50"/>
      <c r="AG147" s="17"/>
      <c r="AH147" s="17"/>
      <c r="AI147" s="17"/>
      <c r="AJ147" s="17"/>
      <c r="AK147" s="17"/>
      <c r="AL147" s="17"/>
      <c r="AM147" s="17"/>
      <c r="AN147" s="17"/>
      <c r="AO147" s="17"/>
      <c r="AP147" s="17"/>
      <c r="AQ147" s="17"/>
      <c r="AR147" s="17"/>
      <c r="AS147" s="17"/>
      <c r="AT147" s="17"/>
      <c r="AU147" s="17"/>
      <c r="AV147" s="17"/>
      <c r="AW147" s="17"/>
      <c r="AX147" s="17"/>
      <c r="AY147" s="17"/>
    </row>
    <row r="148" spans="1:51" x14ac:dyDescent="0.2">
      <c r="A148" s="21" t="s">
        <v>224</v>
      </c>
      <c r="B148" s="20"/>
      <c r="C148" s="20"/>
      <c r="D148" s="20">
        <v>9</v>
      </c>
      <c r="E148" s="20">
        <v>14</v>
      </c>
      <c r="F148" s="20">
        <v>5</v>
      </c>
      <c r="G148" s="20"/>
      <c r="H148" s="20"/>
      <c r="I148" s="20"/>
      <c r="J148" s="20">
        <v>3</v>
      </c>
      <c r="K148" s="20">
        <v>296</v>
      </c>
      <c r="L148" s="20"/>
      <c r="M148" s="20"/>
      <c r="N148" s="17"/>
      <c r="O148" s="27" t="s">
        <v>793</v>
      </c>
      <c r="P148" s="50">
        <v>1</v>
      </c>
      <c r="Q148" s="50"/>
      <c r="R148" s="50">
        <f>IF(Patch&lt;6,20,26)</f>
        <v>26</v>
      </c>
      <c r="S148" s="50">
        <f>IF(Patch&lt;6,36,41)</f>
        <v>41</v>
      </c>
      <c r="T148" s="50"/>
      <c r="U148" s="50"/>
      <c r="V148" s="50"/>
      <c r="W148" s="50"/>
      <c r="X148" s="50"/>
      <c r="Y148" s="50"/>
      <c r="Z148" s="50"/>
      <c r="AA148" s="50">
        <f>IF(Patch&lt;6,196,235)</f>
        <v>235</v>
      </c>
      <c r="AB148" s="50">
        <f>IF(Patch&lt;6,295,353)</f>
        <v>353</v>
      </c>
      <c r="AC148" s="50">
        <v>3.8</v>
      </c>
      <c r="AD148" s="50"/>
      <c r="AE148" s="50" t="s">
        <v>569</v>
      </c>
      <c r="AF148" s="50"/>
      <c r="AG148" s="17"/>
      <c r="AH148" s="17"/>
      <c r="AI148" s="17"/>
      <c r="AJ148" s="17"/>
      <c r="AK148" s="17"/>
      <c r="AL148" s="17"/>
      <c r="AM148" s="17"/>
      <c r="AN148" s="17"/>
      <c r="AO148" s="17"/>
      <c r="AP148" s="17"/>
      <c r="AQ148" s="17"/>
      <c r="AR148" s="17"/>
      <c r="AS148" s="17"/>
      <c r="AT148" s="17"/>
      <c r="AU148" s="17"/>
      <c r="AV148" s="17"/>
      <c r="AW148" s="17"/>
      <c r="AX148" s="17"/>
      <c r="AY148" s="17"/>
    </row>
    <row r="149" spans="1:51" x14ac:dyDescent="0.2">
      <c r="A149" s="21" t="s">
        <v>222</v>
      </c>
      <c r="B149" s="20"/>
      <c r="C149" s="20"/>
      <c r="D149" s="20">
        <v>11</v>
      </c>
      <c r="E149" s="20">
        <f>IF(Patch&lt;5,18,23)</f>
        <v>23</v>
      </c>
      <c r="F149" s="20">
        <f>IF(Patch&lt;5,8,0)</f>
        <v>0</v>
      </c>
      <c r="G149" s="20"/>
      <c r="H149" s="20"/>
      <c r="I149" s="20"/>
      <c r="J149" s="20"/>
      <c r="K149" s="20">
        <v>328</v>
      </c>
      <c r="L149" s="20"/>
      <c r="M149" s="20"/>
      <c r="N149" s="17"/>
      <c r="O149" s="27" t="s">
        <v>423</v>
      </c>
      <c r="P149" s="50"/>
      <c r="Q149" s="50"/>
      <c r="R149" s="50"/>
      <c r="S149" s="50">
        <v>30</v>
      </c>
      <c r="T149" s="50"/>
      <c r="U149" s="50">
        <v>26</v>
      </c>
      <c r="V149" s="50"/>
      <c r="W149" s="50"/>
      <c r="X149" s="50"/>
      <c r="Y149" s="50"/>
      <c r="Z149" s="50"/>
      <c r="AA149" s="50">
        <v>131</v>
      </c>
      <c r="AB149" s="50">
        <v>197</v>
      </c>
      <c r="AC149" s="50">
        <v>3.1</v>
      </c>
      <c r="AD149" s="50"/>
      <c r="AE149" s="50" t="s">
        <v>569</v>
      </c>
      <c r="AF149" s="50"/>
      <c r="AG149" s="17"/>
      <c r="AH149" s="17"/>
      <c r="AI149" s="17"/>
      <c r="AJ149" s="17"/>
      <c r="AK149" s="17"/>
      <c r="AL149" s="17"/>
      <c r="AM149" s="17"/>
      <c r="AN149" s="17"/>
      <c r="AO149" s="17"/>
      <c r="AP149" s="17"/>
      <c r="AQ149" s="17"/>
      <c r="AR149" s="17"/>
      <c r="AS149" s="17"/>
      <c r="AT149" s="17"/>
      <c r="AU149" s="17"/>
      <c r="AV149" s="17"/>
      <c r="AW149" s="17"/>
      <c r="AX149" s="17"/>
      <c r="AY149" s="17"/>
    </row>
    <row r="150" spans="1:51" x14ac:dyDescent="0.2">
      <c r="A150" s="21" t="s">
        <v>799</v>
      </c>
      <c r="B150" s="20"/>
      <c r="C150" s="20"/>
      <c r="D150" s="20">
        <v>7</v>
      </c>
      <c r="E150" s="20">
        <v>14</v>
      </c>
      <c r="F150" s="20">
        <v>3</v>
      </c>
      <c r="G150" s="20"/>
      <c r="H150" s="20"/>
      <c r="I150" s="20"/>
      <c r="J150" s="20"/>
      <c r="K150" s="20">
        <v>261</v>
      </c>
      <c r="L150" s="20"/>
      <c r="M150" s="20"/>
      <c r="N150" s="17"/>
      <c r="O150" s="27" t="s">
        <v>416</v>
      </c>
      <c r="P150" s="50"/>
      <c r="Q150" s="50"/>
      <c r="R150" s="50">
        <v>21</v>
      </c>
      <c r="S150" s="50">
        <v>16</v>
      </c>
      <c r="T150" s="50"/>
      <c r="U150" s="50"/>
      <c r="V150" s="50"/>
      <c r="W150" s="50"/>
      <c r="X150" s="50"/>
      <c r="Y150" s="50"/>
      <c r="Z150" s="50"/>
      <c r="AA150" s="50">
        <v>202</v>
      </c>
      <c r="AB150" s="50">
        <v>303</v>
      </c>
      <c r="AC150" s="50">
        <v>3.7</v>
      </c>
      <c r="AD150" s="50">
        <f ca="1">152*0.8*VLOOKUP(O150,ProcChance,4,FALSE)*(WhiteMHConnects+YellowConnects+WindfuryConnects+HoJConnects)</f>
        <v>6.6447265285344166</v>
      </c>
      <c r="AE150" s="50" t="s">
        <v>569</v>
      </c>
      <c r="AF150" s="50">
        <f ca="1">152*0.8*VLOOKUP(O150,ProcChance,4,FALSE)*(WhiteMHConnects20+YellowConnects20+WindfuryConnects20+HoJConnects20)</f>
        <v>8.6617266416667906</v>
      </c>
      <c r="AG150" s="17"/>
      <c r="AH150" s="17"/>
      <c r="AI150" s="17"/>
      <c r="AJ150" s="17"/>
      <c r="AK150" s="17"/>
      <c r="AL150" s="17"/>
      <c r="AM150" s="17"/>
      <c r="AN150" s="17"/>
      <c r="AO150" s="17"/>
      <c r="AP150" s="17"/>
      <c r="AQ150" s="17"/>
      <c r="AR150" s="17"/>
      <c r="AS150" s="17"/>
      <c r="AT150" s="17"/>
      <c r="AU150" s="17"/>
      <c r="AV150" s="17"/>
      <c r="AW150" s="17"/>
      <c r="AX150" s="17"/>
      <c r="AY150" s="17"/>
    </row>
    <row r="151" spans="1:51" x14ac:dyDescent="0.2">
      <c r="A151" s="21" t="s">
        <v>227</v>
      </c>
      <c r="B151" s="20"/>
      <c r="C151" s="20"/>
      <c r="D151" s="20">
        <v>19</v>
      </c>
      <c r="E151" s="20">
        <v>8</v>
      </c>
      <c r="F151" s="20">
        <v>10</v>
      </c>
      <c r="G151" s="20"/>
      <c r="H151" s="20"/>
      <c r="I151" s="20"/>
      <c r="J151" s="20"/>
      <c r="K151" s="20">
        <v>309</v>
      </c>
      <c r="L151" s="20"/>
      <c r="M151" s="20"/>
      <c r="N151" s="17"/>
      <c r="O151" s="27" t="s">
        <v>417</v>
      </c>
      <c r="P151" s="50"/>
      <c r="Q151" s="50"/>
      <c r="R151" s="50"/>
      <c r="S151" s="50"/>
      <c r="T151" s="50"/>
      <c r="U151" s="50"/>
      <c r="V151" s="50"/>
      <c r="W151" s="50"/>
      <c r="X151" s="50"/>
      <c r="Y151" s="50"/>
      <c r="Z151" s="50"/>
      <c r="AA151" s="50">
        <f>IF(Patch&lt;12,171,187)</f>
        <v>187</v>
      </c>
      <c r="AB151" s="50">
        <f>IF(Patch&lt;12,258,282)</f>
        <v>282</v>
      </c>
      <c r="AC151" s="50">
        <f>IF(Patch&lt;12,3.2,3.5)</f>
        <v>3.5</v>
      </c>
      <c r="AD151" s="50"/>
      <c r="AE151" s="50" t="s">
        <v>569</v>
      </c>
      <c r="AF151" s="50"/>
      <c r="AG151" s="17"/>
      <c r="AH151" s="17"/>
      <c r="AI151" s="17"/>
      <c r="AJ151" s="17"/>
      <c r="AK151" s="17"/>
      <c r="AL151" s="17"/>
      <c r="AM151" s="17"/>
      <c r="AN151" s="17"/>
      <c r="AO151" s="17"/>
      <c r="AP151" s="17"/>
      <c r="AQ151" s="17"/>
      <c r="AR151" s="17"/>
      <c r="AS151" s="17"/>
      <c r="AT151" s="17"/>
      <c r="AU151" s="17"/>
      <c r="AV151" s="17"/>
      <c r="AW151" s="17"/>
      <c r="AX151" s="17"/>
      <c r="AY151" s="17"/>
    </row>
    <row r="152" spans="1:51" x14ac:dyDescent="0.2">
      <c r="A152" s="21" t="s">
        <v>226</v>
      </c>
      <c r="B152" s="20"/>
      <c r="C152" s="20"/>
      <c r="D152" s="20">
        <v>17</v>
      </c>
      <c r="E152" s="20">
        <v>7</v>
      </c>
      <c r="F152" s="20"/>
      <c r="G152" s="20"/>
      <c r="H152" s="20"/>
      <c r="I152" s="20"/>
      <c r="J152" s="20"/>
      <c r="K152" s="20">
        <v>287</v>
      </c>
      <c r="L152" s="20"/>
      <c r="M152" s="20"/>
      <c r="N152" s="17"/>
      <c r="O152" s="27" t="s">
        <v>1174</v>
      </c>
      <c r="P152" s="50">
        <v>2</v>
      </c>
      <c r="Q152" s="50"/>
      <c r="R152" s="50">
        <v>43</v>
      </c>
      <c r="S152" s="50">
        <v>18</v>
      </c>
      <c r="T152" s="50"/>
      <c r="U152" s="50"/>
      <c r="V152" s="50"/>
      <c r="W152" s="50"/>
      <c r="X152" s="50"/>
      <c r="Y152" s="50"/>
      <c r="Z152" s="50"/>
      <c r="AA152" s="50">
        <v>235</v>
      </c>
      <c r="AB152" s="50">
        <v>354</v>
      </c>
      <c r="AC152" s="50">
        <v>3.6</v>
      </c>
      <c r="AD152" s="50"/>
      <c r="AE152" s="50" t="s">
        <v>569</v>
      </c>
      <c r="AF152" s="50"/>
      <c r="AG152" s="17"/>
      <c r="AH152" s="17"/>
      <c r="AI152" s="17"/>
      <c r="AJ152" s="17"/>
      <c r="AK152" s="17"/>
      <c r="AL152" s="17"/>
      <c r="AM152" s="17"/>
      <c r="AN152" s="17"/>
      <c r="AO152" s="17"/>
      <c r="AP152" s="17"/>
      <c r="AQ152" s="17"/>
      <c r="AR152" s="17"/>
      <c r="AS152" s="17"/>
      <c r="AT152" s="17"/>
      <c r="AU152" s="17"/>
      <c r="AV152" s="17"/>
      <c r="AW152" s="17"/>
      <c r="AX152" s="17"/>
      <c r="AY152" s="17"/>
    </row>
    <row r="153" spans="1:51" x14ac:dyDescent="0.2">
      <c r="A153" s="21" t="s">
        <v>218</v>
      </c>
      <c r="B153" s="20"/>
      <c r="C153" s="20"/>
      <c r="D153" s="20">
        <v>23</v>
      </c>
      <c r="E153" s="20"/>
      <c r="F153" s="20">
        <v>18</v>
      </c>
      <c r="G153" s="20"/>
      <c r="H153" s="20"/>
      <c r="I153" s="20"/>
      <c r="J153" s="20"/>
      <c r="K153" s="20">
        <v>384</v>
      </c>
      <c r="L153" s="20"/>
      <c r="M153" s="20"/>
      <c r="N153" s="17"/>
      <c r="O153" s="27" t="s">
        <v>413</v>
      </c>
      <c r="P153" s="50"/>
      <c r="Q153" s="50"/>
      <c r="R153" s="50"/>
      <c r="S153" s="50"/>
      <c r="T153" s="50"/>
      <c r="U153" s="50">
        <v>34</v>
      </c>
      <c r="V153" s="50"/>
      <c r="W153" s="50"/>
      <c r="X153" s="50"/>
      <c r="Y153" s="50"/>
      <c r="Z153" s="50"/>
      <c r="AA153" s="50">
        <v>203</v>
      </c>
      <c r="AB153" s="50">
        <v>305</v>
      </c>
      <c r="AC153" s="50">
        <v>3.4</v>
      </c>
      <c r="AD153" s="50"/>
      <c r="AE153" s="50" t="s">
        <v>569</v>
      </c>
      <c r="AF153" s="50"/>
      <c r="AG153" s="17"/>
      <c r="AH153" s="17"/>
      <c r="AI153" s="17"/>
      <c r="AJ153" s="17"/>
      <c r="AK153" s="17"/>
      <c r="AL153" s="17"/>
      <c r="AM153" s="17"/>
      <c r="AN153" s="17"/>
      <c r="AO153" s="17"/>
      <c r="AP153" s="17"/>
      <c r="AQ153" s="17"/>
      <c r="AR153" s="17"/>
      <c r="AS153" s="17"/>
      <c r="AT153" s="17"/>
      <c r="AU153" s="17"/>
      <c r="AV153" s="17"/>
      <c r="AW153" s="17"/>
      <c r="AX153" s="17"/>
      <c r="AY153" s="17"/>
    </row>
    <row r="154" spans="1:51" x14ac:dyDescent="0.2">
      <c r="A154" s="21" t="s">
        <v>19</v>
      </c>
      <c r="B154" s="20"/>
      <c r="C154" s="20">
        <v>1</v>
      </c>
      <c r="D154" s="20">
        <v>15</v>
      </c>
      <c r="E154" s="20">
        <v>14</v>
      </c>
      <c r="F154" s="20">
        <v>16</v>
      </c>
      <c r="G154" s="20"/>
      <c r="H154" s="20"/>
      <c r="I154" s="20"/>
      <c r="J154" s="20"/>
      <c r="K154" s="20">
        <v>103</v>
      </c>
      <c r="L154" s="20"/>
      <c r="M154" s="20"/>
      <c r="N154" s="17"/>
      <c r="O154" s="27" t="s">
        <v>425</v>
      </c>
      <c r="P154" s="50"/>
      <c r="Q154" s="50"/>
      <c r="R154" s="50"/>
      <c r="S154" s="50"/>
      <c r="T154" s="50"/>
      <c r="U154" s="50"/>
      <c r="V154" s="50"/>
      <c r="W154" s="50"/>
      <c r="X154" s="50"/>
      <c r="Y154" s="50"/>
      <c r="Z154" s="50"/>
      <c r="AA154" s="50">
        <v>159</v>
      </c>
      <c r="AB154" s="50">
        <v>239</v>
      </c>
      <c r="AC154" s="50">
        <v>4</v>
      </c>
      <c r="AD154" s="50">
        <f ca="1">100.5*VLOOKUP(O154,ProcChance,4,FALSE)*(WhiteMHConnects+YellowConnects+WindfuryConnects+HoJConnects)*(1-MobMitigation)*DeathWishMod*(1+IF(Base2HSpeed&gt;0,0.01*THSpec,0))*(YellowCrits*2+YellowHits)/100</f>
        <v>6.9753772688761781</v>
      </c>
      <c r="AE154" s="50" t="s">
        <v>569</v>
      </c>
      <c r="AF154" s="50">
        <f ca="1">100.5*VLOOKUP(O154,ProcChance,4,FALSE)*(WhiteMHConnects20+YellowConnects20+WindfuryConnects20+HoJConnects20)*(1-MobMitigation20)*DeathWishMod*(1+IF(Base2HSpeed&gt;0,0.01*THSpec,0))*(YellowCrits*2+YellowHits)/100</f>
        <v>9.0927460845898676</v>
      </c>
      <c r="AG154" s="17"/>
      <c r="AH154" s="17"/>
      <c r="AI154" s="17"/>
      <c r="AJ154" s="17"/>
      <c r="AK154" s="17"/>
      <c r="AL154" s="17"/>
      <c r="AM154" s="17"/>
      <c r="AN154" s="17"/>
      <c r="AO154" s="17"/>
      <c r="AP154" s="17"/>
      <c r="AQ154" s="17"/>
      <c r="AR154" s="17"/>
      <c r="AS154" s="17"/>
      <c r="AT154" s="17"/>
      <c r="AU154" s="17"/>
      <c r="AV154" s="17"/>
      <c r="AW154" s="17"/>
      <c r="AX154" s="17"/>
      <c r="AY154" s="17"/>
    </row>
    <row r="155" spans="1:51" x14ac:dyDescent="0.2">
      <c r="A155" s="21" t="s">
        <v>229</v>
      </c>
      <c r="B155" s="20"/>
      <c r="C155" s="20"/>
      <c r="D155" s="20">
        <v>10</v>
      </c>
      <c r="E155" s="20">
        <v>8</v>
      </c>
      <c r="F155" s="20">
        <v>15</v>
      </c>
      <c r="G155" s="20"/>
      <c r="H155" s="20"/>
      <c r="I155" s="20"/>
      <c r="J155" s="20"/>
      <c r="K155" s="20">
        <v>87</v>
      </c>
      <c r="L155" s="20"/>
      <c r="M155" s="20"/>
      <c r="N155" s="17"/>
      <c r="O155" s="27" t="s">
        <v>421</v>
      </c>
      <c r="P155" s="50">
        <v>2</v>
      </c>
      <c r="Q155" s="50"/>
      <c r="R155" s="50">
        <v>25</v>
      </c>
      <c r="S155" s="50">
        <v>15</v>
      </c>
      <c r="T155" s="50"/>
      <c r="U155" s="50"/>
      <c r="V155" s="50"/>
      <c r="W155" s="50"/>
      <c r="X155" s="50"/>
      <c r="Y155" s="50"/>
      <c r="Z155" s="50"/>
      <c r="AA155" s="50">
        <v>128</v>
      </c>
      <c r="AB155" s="50">
        <v>193</v>
      </c>
      <c r="AC155" s="50">
        <v>2.7</v>
      </c>
      <c r="AD155" s="50"/>
      <c r="AE155" s="50" t="s">
        <v>569</v>
      </c>
      <c r="AF155" s="50"/>
      <c r="AG155" s="17"/>
      <c r="AH155" s="17"/>
      <c r="AI155" s="17"/>
      <c r="AJ155" s="17"/>
      <c r="AK155" s="17"/>
      <c r="AL155" s="17"/>
      <c r="AM155" s="17"/>
      <c r="AN155" s="17"/>
      <c r="AO155" s="17"/>
      <c r="AP155" s="17"/>
      <c r="AQ155" s="17"/>
      <c r="AR155" s="17"/>
      <c r="AS155" s="17"/>
      <c r="AT155" s="17"/>
      <c r="AU155" s="17"/>
      <c r="AV155" s="17"/>
      <c r="AW155" s="17"/>
      <c r="AX155" s="17"/>
      <c r="AY155" s="17"/>
    </row>
    <row r="156" spans="1:51" x14ac:dyDescent="0.2">
      <c r="A156" s="21" t="s">
        <v>220</v>
      </c>
      <c r="B156" s="20"/>
      <c r="C156" s="20"/>
      <c r="D156" s="20">
        <f>IF(Patch&lt;11,12,13)</f>
        <v>13</v>
      </c>
      <c r="E156" s="20">
        <f>IF(Patch&lt;10,11,13)</f>
        <v>13</v>
      </c>
      <c r="F156" s="20">
        <f>IF(Patch&lt;10,11,13)</f>
        <v>13</v>
      </c>
      <c r="G156" s="20"/>
      <c r="H156" s="20"/>
      <c r="I156" s="20"/>
      <c r="J156" s="20"/>
      <c r="K156" s="20">
        <v>304</v>
      </c>
      <c r="L156" s="20"/>
      <c r="M156" s="20"/>
      <c r="N156" s="17"/>
      <c r="O156" s="29" t="s">
        <v>418</v>
      </c>
      <c r="P156" s="51">
        <v>1</v>
      </c>
      <c r="Q156" s="51"/>
      <c r="R156" s="51"/>
      <c r="S156" s="51"/>
      <c r="T156" s="51"/>
      <c r="U156" s="51">
        <v>44</v>
      </c>
      <c r="V156" s="51"/>
      <c r="W156" s="51"/>
      <c r="X156" s="51"/>
      <c r="Y156" s="51"/>
      <c r="Z156" s="51"/>
      <c r="AA156" s="51">
        <v>131</v>
      </c>
      <c r="AB156" s="51">
        <v>197</v>
      </c>
      <c r="AC156" s="51">
        <v>2.8</v>
      </c>
      <c r="AD156" s="51"/>
      <c r="AE156" s="51" t="s">
        <v>569</v>
      </c>
      <c r="AF156" s="51"/>
      <c r="AG156" s="17"/>
      <c r="AH156" s="17"/>
      <c r="AI156" s="17"/>
      <c r="AJ156" s="17"/>
      <c r="AK156" s="17"/>
      <c r="AL156" s="17"/>
      <c r="AM156" s="17"/>
      <c r="AN156" s="17"/>
      <c r="AO156" s="17"/>
      <c r="AP156" s="17"/>
      <c r="AQ156" s="17"/>
      <c r="AR156" s="17"/>
      <c r="AS156" s="17"/>
      <c r="AT156" s="17"/>
      <c r="AU156" s="17"/>
      <c r="AV156" s="17"/>
      <c r="AW156" s="17"/>
      <c r="AX156" s="17"/>
      <c r="AY156" s="17"/>
    </row>
    <row r="157" spans="1:51" x14ac:dyDescent="0.2">
      <c r="A157" s="21" t="s">
        <v>228</v>
      </c>
      <c r="B157" s="20">
        <v>1</v>
      </c>
      <c r="C157" s="20"/>
      <c r="D157" s="20">
        <f>IF(Patch&lt;10,0,6)</f>
        <v>6</v>
      </c>
      <c r="E157" s="20">
        <v>7</v>
      </c>
      <c r="F157" s="20"/>
      <c r="G157" s="20"/>
      <c r="H157" s="20"/>
      <c r="I157" s="20"/>
      <c r="J157" s="20"/>
      <c r="K157" s="20">
        <v>270</v>
      </c>
      <c r="L157" s="20"/>
      <c r="M157" s="20"/>
      <c r="N157" s="17"/>
      <c r="O157" s="39" t="s">
        <v>1026</v>
      </c>
      <c r="P157" s="31"/>
      <c r="Q157" s="31"/>
      <c r="R157" s="31"/>
      <c r="S157" s="31"/>
      <c r="T157" s="31"/>
      <c r="U157" s="31"/>
      <c r="V157" s="31"/>
      <c r="W157" s="31"/>
      <c r="X157" s="31"/>
      <c r="Y157" s="31"/>
      <c r="Z157" s="31"/>
      <c r="AA157" s="31"/>
      <c r="AB157" s="31"/>
      <c r="AC157" s="31"/>
      <c r="AD157" s="31"/>
      <c r="AE157" s="31"/>
      <c r="AF157" s="31"/>
      <c r="AG157" s="17"/>
      <c r="AH157" s="17"/>
      <c r="AI157" s="17"/>
      <c r="AJ157" s="17"/>
      <c r="AK157" s="17"/>
      <c r="AL157" s="17"/>
      <c r="AM157" s="17"/>
      <c r="AN157" s="17"/>
      <c r="AO157" s="17"/>
      <c r="AP157" s="17"/>
      <c r="AQ157" s="17"/>
      <c r="AR157" s="17"/>
      <c r="AS157" s="17"/>
      <c r="AT157" s="17"/>
      <c r="AU157" s="17"/>
      <c r="AV157" s="17"/>
      <c r="AW157" s="17"/>
      <c r="AX157" s="17"/>
      <c r="AY157" s="17"/>
    </row>
    <row r="158" spans="1:51" x14ac:dyDescent="0.2">
      <c r="A158" s="21" t="s">
        <v>231</v>
      </c>
      <c r="B158" s="20"/>
      <c r="C158" s="20"/>
      <c r="D158" s="20">
        <v>24</v>
      </c>
      <c r="E158" s="20">
        <v>8</v>
      </c>
      <c r="F158" s="20"/>
      <c r="G158" s="20"/>
      <c r="H158" s="20"/>
      <c r="I158" s="20"/>
      <c r="J158" s="20"/>
      <c r="K158" s="20">
        <v>86</v>
      </c>
      <c r="L158" s="20"/>
      <c r="M158" s="20"/>
      <c r="N158" s="17"/>
      <c r="O158" s="33" t="s">
        <v>319</v>
      </c>
      <c r="P158" s="34"/>
      <c r="Q158" s="34"/>
      <c r="R158" s="34"/>
      <c r="S158" s="34"/>
      <c r="T158" s="34"/>
      <c r="U158" s="34"/>
      <c r="V158" s="34"/>
      <c r="W158" s="34"/>
      <c r="X158" s="34"/>
      <c r="Y158" s="34"/>
      <c r="Z158" s="34"/>
      <c r="AA158" s="34"/>
      <c r="AB158" s="34"/>
      <c r="AC158" s="34"/>
      <c r="AD158" s="34"/>
      <c r="AE158" s="34"/>
      <c r="AF158" s="34"/>
      <c r="AG158" s="17"/>
      <c r="AH158" s="17"/>
      <c r="AI158" s="17"/>
      <c r="AJ158" s="17"/>
      <c r="AK158" s="17"/>
      <c r="AL158" s="17"/>
      <c r="AM158" s="17"/>
      <c r="AN158" s="17"/>
      <c r="AO158" s="17"/>
      <c r="AP158" s="17"/>
      <c r="AQ158" s="17"/>
      <c r="AR158" s="17"/>
      <c r="AS158" s="17"/>
      <c r="AT158" s="17"/>
      <c r="AU158" s="17"/>
      <c r="AV158" s="17"/>
      <c r="AW158" s="17"/>
      <c r="AX158" s="17"/>
      <c r="AY158" s="17"/>
    </row>
    <row r="159" spans="1:51" x14ac:dyDescent="0.2">
      <c r="A159" s="21" t="s">
        <v>230</v>
      </c>
      <c r="B159" s="20"/>
      <c r="C159" s="20">
        <v>1</v>
      </c>
      <c r="D159" s="20"/>
      <c r="E159" s="20">
        <v>11</v>
      </c>
      <c r="F159" s="20">
        <v>19</v>
      </c>
      <c r="G159" s="20"/>
      <c r="H159" s="20"/>
      <c r="I159" s="20"/>
      <c r="J159" s="20"/>
      <c r="K159" s="20">
        <v>198</v>
      </c>
      <c r="L159" s="20"/>
      <c r="M159" s="20"/>
      <c r="N159" s="17"/>
      <c r="O159" s="36" t="s">
        <v>1026</v>
      </c>
      <c r="P159" s="37"/>
      <c r="Q159" s="37"/>
      <c r="R159" s="37"/>
      <c r="S159" s="37"/>
      <c r="T159" s="37"/>
      <c r="U159" s="37"/>
      <c r="V159" s="37"/>
      <c r="W159" s="37"/>
      <c r="X159" s="37"/>
      <c r="Y159" s="37"/>
      <c r="Z159" s="37"/>
      <c r="AA159" s="37"/>
      <c r="AB159" s="37"/>
      <c r="AC159" s="37"/>
      <c r="AD159" s="37"/>
      <c r="AE159" s="37"/>
      <c r="AF159" s="37"/>
      <c r="AG159" s="17"/>
      <c r="AH159" s="17"/>
      <c r="AI159" s="17"/>
      <c r="AJ159" s="17"/>
      <c r="AK159" s="17"/>
      <c r="AL159" s="17"/>
      <c r="AM159" s="17"/>
      <c r="AN159" s="17"/>
      <c r="AO159" s="17"/>
      <c r="AP159" s="17"/>
      <c r="AQ159" s="17"/>
      <c r="AR159" s="17"/>
      <c r="AS159" s="17"/>
      <c r="AT159" s="17"/>
      <c r="AU159" s="17"/>
      <c r="AV159" s="17"/>
      <c r="AW159" s="17"/>
      <c r="AX159" s="17"/>
      <c r="AY159" s="17"/>
    </row>
    <row r="160" spans="1:51" x14ac:dyDescent="0.2">
      <c r="A160" s="21" t="s">
        <v>1185</v>
      </c>
      <c r="B160" s="20">
        <v>1</v>
      </c>
      <c r="C160" s="20"/>
      <c r="D160" s="20">
        <v>24</v>
      </c>
      <c r="E160" s="20">
        <v>10</v>
      </c>
      <c r="F160" s="20"/>
      <c r="G160" s="20"/>
      <c r="H160" s="20"/>
      <c r="I160" s="20"/>
      <c r="J160" s="20"/>
      <c r="K160" s="20">
        <v>407</v>
      </c>
      <c r="L160" s="20"/>
      <c r="M160" s="20"/>
      <c r="N160" s="17"/>
      <c r="O160" s="28" t="s">
        <v>437</v>
      </c>
      <c r="P160" s="52">
        <v>1</v>
      </c>
      <c r="Q160" s="52"/>
      <c r="R160" s="52">
        <v>30</v>
      </c>
      <c r="S160" s="52"/>
      <c r="T160" s="52"/>
      <c r="U160" s="52"/>
      <c r="V160" s="52"/>
      <c r="W160" s="52"/>
      <c r="X160" s="52"/>
      <c r="Y160" s="52"/>
      <c r="Z160" s="52"/>
      <c r="AA160" s="52">
        <v>129</v>
      </c>
      <c r="AB160" s="52">
        <v>194</v>
      </c>
      <c r="AC160" s="52">
        <v>3</v>
      </c>
      <c r="AD160" s="52"/>
      <c r="AE160" s="52" t="s">
        <v>570</v>
      </c>
      <c r="AF160" s="52"/>
      <c r="AG160" s="17"/>
      <c r="AH160" s="17"/>
      <c r="AI160" s="17"/>
      <c r="AJ160" s="17"/>
      <c r="AK160" s="17"/>
      <c r="AL160" s="17"/>
      <c r="AM160" s="17"/>
      <c r="AN160" s="17"/>
      <c r="AO160" s="17"/>
      <c r="AP160" s="17"/>
      <c r="AQ160" s="17"/>
      <c r="AR160" s="17"/>
      <c r="AS160" s="17"/>
      <c r="AT160" s="17"/>
      <c r="AU160" s="17"/>
      <c r="AV160" s="17"/>
      <c r="AW160" s="17"/>
      <c r="AX160" s="17"/>
      <c r="AY160" s="17"/>
    </row>
    <row r="161" spans="1:51" x14ac:dyDescent="0.2">
      <c r="A161" s="24"/>
      <c r="B161" s="23"/>
      <c r="C161" s="23"/>
      <c r="D161" s="23"/>
      <c r="E161" s="23"/>
      <c r="F161" s="23"/>
      <c r="G161" s="23"/>
      <c r="H161" s="23"/>
      <c r="I161" s="23"/>
      <c r="J161" s="23"/>
      <c r="K161" s="23"/>
      <c r="L161" s="23"/>
      <c r="M161" s="23"/>
      <c r="N161" s="17"/>
      <c r="O161" s="27" t="s">
        <v>967</v>
      </c>
      <c r="P161" s="50">
        <v>2</v>
      </c>
      <c r="Q161" s="50"/>
      <c r="R161" s="50">
        <v>16</v>
      </c>
      <c r="S161" s="50"/>
      <c r="T161" s="50"/>
      <c r="U161" s="50"/>
      <c r="V161" s="50"/>
      <c r="W161" s="50"/>
      <c r="X161" s="50"/>
      <c r="Y161" s="50"/>
      <c r="Z161" s="50"/>
      <c r="AA161" s="50">
        <v>168</v>
      </c>
      <c r="AB161" s="50">
        <v>252</v>
      </c>
      <c r="AC161" s="50">
        <v>3.9</v>
      </c>
      <c r="AD161" s="50"/>
      <c r="AE161" s="50" t="s">
        <v>570</v>
      </c>
      <c r="AF161" s="50"/>
      <c r="AG161" s="17"/>
      <c r="AH161" s="17"/>
      <c r="AI161" s="17"/>
      <c r="AJ161" s="17"/>
      <c r="AK161" s="17"/>
      <c r="AL161" s="17"/>
      <c r="AM161" s="17"/>
      <c r="AN161" s="17"/>
      <c r="AO161" s="17"/>
      <c r="AP161" s="17"/>
      <c r="AQ161" s="17"/>
      <c r="AR161" s="17"/>
      <c r="AS161" s="17"/>
      <c r="AT161" s="17"/>
      <c r="AU161" s="17"/>
      <c r="AV161" s="17"/>
      <c r="AW161" s="17"/>
      <c r="AX161" s="17"/>
      <c r="AY161" s="17"/>
    </row>
    <row r="162" spans="1:51" x14ac:dyDescent="0.2">
      <c r="A162" s="17"/>
      <c r="B162" s="17"/>
      <c r="C162" s="17"/>
      <c r="D162" s="17"/>
      <c r="E162" s="17"/>
      <c r="F162" s="17"/>
      <c r="G162" s="17"/>
      <c r="H162" s="17"/>
      <c r="I162" s="17"/>
      <c r="J162" s="17"/>
      <c r="K162" s="17"/>
      <c r="L162" s="17"/>
      <c r="M162" s="17"/>
      <c r="N162" s="17"/>
      <c r="O162" s="27" t="s">
        <v>435</v>
      </c>
      <c r="P162" s="50"/>
      <c r="Q162" s="50">
        <v>1</v>
      </c>
      <c r="R162" s="50">
        <v>22</v>
      </c>
      <c r="S162" s="50">
        <v>22</v>
      </c>
      <c r="T162" s="50"/>
      <c r="U162" s="50"/>
      <c r="V162" s="50"/>
      <c r="W162" s="50"/>
      <c r="X162" s="50"/>
      <c r="Y162" s="50"/>
      <c r="Z162" s="50"/>
      <c r="AA162" s="50">
        <v>158</v>
      </c>
      <c r="AB162" s="50">
        <v>265</v>
      </c>
      <c r="AC162" s="50">
        <v>3.8</v>
      </c>
      <c r="AD162" s="50"/>
      <c r="AE162" s="50" t="s">
        <v>570</v>
      </c>
      <c r="AF162" s="50"/>
      <c r="AG162" s="17"/>
      <c r="AH162" s="17"/>
      <c r="AI162" s="17"/>
      <c r="AJ162" s="17"/>
      <c r="AK162" s="17"/>
      <c r="AL162" s="17"/>
      <c r="AM162" s="17"/>
      <c r="AN162" s="17"/>
      <c r="AO162" s="17"/>
      <c r="AP162" s="17"/>
      <c r="AQ162" s="17"/>
      <c r="AR162" s="17"/>
      <c r="AS162" s="17"/>
      <c r="AT162" s="17"/>
      <c r="AU162" s="17"/>
      <c r="AV162" s="17"/>
      <c r="AW162" s="17"/>
      <c r="AX162" s="17"/>
      <c r="AY162" s="17"/>
    </row>
    <row r="163" spans="1:51" x14ac:dyDescent="0.2">
      <c r="A163" s="17"/>
      <c r="B163" s="17"/>
      <c r="C163" s="17"/>
      <c r="D163" s="17"/>
      <c r="E163" s="17"/>
      <c r="F163" s="17"/>
      <c r="G163" s="17"/>
      <c r="H163" s="17"/>
      <c r="I163" s="17"/>
      <c r="J163" s="17"/>
      <c r="K163" s="17"/>
      <c r="L163" s="17"/>
      <c r="M163" s="17"/>
      <c r="N163" s="17"/>
      <c r="O163" s="27" t="s">
        <v>430</v>
      </c>
      <c r="P163" s="50">
        <v>2</v>
      </c>
      <c r="Q163" s="50"/>
      <c r="R163" s="50">
        <v>27</v>
      </c>
      <c r="S163" s="50">
        <v>19</v>
      </c>
      <c r="T163" s="50"/>
      <c r="U163" s="50"/>
      <c r="V163" s="50"/>
      <c r="W163" s="50"/>
      <c r="X163" s="50"/>
      <c r="Y163" s="50"/>
      <c r="Z163" s="50"/>
      <c r="AA163" s="50">
        <v>187</v>
      </c>
      <c r="AB163" s="50">
        <v>282</v>
      </c>
      <c r="AC163" s="50">
        <v>3.5</v>
      </c>
      <c r="AD163" s="50"/>
      <c r="AE163" s="50" t="s">
        <v>570</v>
      </c>
      <c r="AF163" s="50"/>
      <c r="AG163" s="17"/>
      <c r="AH163" s="17"/>
      <c r="AI163" s="17"/>
      <c r="AJ163" s="17"/>
      <c r="AK163" s="17"/>
      <c r="AL163" s="17"/>
      <c r="AM163" s="17"/>
      <c r="AN163" s="17"/>
      <c r="AO163" s="17"/>
      <c r="AP163" s="17"/>
      <c r="AQ163" s="17"/>
      <c r="AR163" s="17"/>
      <c r="AS163" s="17"/>
      <c r="AT163" s="17"/>
      <c r="AU163" s="17"/>
      <c r="AV163" s="17"/>
      <c r="AW163" s="17"/>
      <c r="AX163" s="17"/>
      <c r="AY163" s="17"/>
    </row>
    <row r="164" spans="1:51" ht="12.75" customHeight="1" x14ac:dyDescent="0.2">
      <c r="A164" s="171" t="s">
        <v>20</v>
      </c>
      <c r="B164" s="171"/>
      <c r="C164" s="171"/>
      <c r="D164" s="171"/>
      <c r="E164" s="171"/>
      <c r="F164" s="171"/>
      <c r="G164" s="171"/>
      <c r="H164" s="171"/>
      <c r="I164" s="171"/>
      <c r="J164" s="171"/>
      <c r="K164" s="171"/>
      <c r="L164" s="171"/>
      <c r="M164" s="171"/>
      <c r="N164" s="17"/>
      <c r="O164" s="27" t="s">
        <v>432</v>
      </c>
      <c r="P164" s="50"/>
      <c r="Q164" s="50"/>
      <c r="R164" s="50"/>
      <c r="S164" s="50"/>
      <c r="T164" s="50"/>
      <c r="U164" s="50">
        <f>IF(Patch&lt;4,0,22)</f>
        <v>22</v>
      </c>
      <c r="V164" s="50"/>
      <c r="W164" s="50"/>
      <c r="X164" s="50"/>
      <c r="Y164" s="50"/>
      <c r="Z164" s="50"/>
      <c r="AA164" s="50">
        <f>IF(Patch&lt;4,158,175)</f>
        <v>175</v>
      </c>
      <c r="AB164" s="50">
        <f>IF(Patch&lt;4,238,263)</f>
        <v>263</v>
      </c>
      <c r="AC164" s="50">
        <v>3.5</v>
      </c>
      <c r="AD164" s="50"/>
      <c r="AE164" s="50" t="s">
        <v>570</v>
      </c>
      <c r="AF164" s="50"/>
      <c r="AG164" s="17"/>
      <c r="AH164" s="17"/>
      <c r="AI164" s="17"/>
      <c r="AJ164" s="17"/>
      <c r="AK164" s="17"/>
      <c r="AL164" s="17"/>
      <c r="AM164" s="17"/>
      <c r="AN164" s="17"/>
      <c r="AO164" s="17"/>
      <c r="AP164" s="17"/>
      <c r="AQ164" s="17"/>
      <c r="AR164" s="17"/>
      <c r="AS164" s="17"/>
      <c r="AT164" s="17"/>
      <c r="AU164" s="17"/>
      <c r="AV164" s="17"/>
      <c r="AW164" s="17"/>
      <c r="AX164" s="17"/>
      <c r="AY164" s="17"/>
    </row>
    <row r="165" spans="1:51" ht="12.75" customHeight="1" x14ac:dyDescent="0.2">
      <c r="A165" s="172"/>
      <c r="B165" s="172"/>
      <c r="C165" s="172"/>
      <c r="D165" s="172"/>
      <c r="E165" s="172"/>
      <c r="F165" s="172"/>
      <c r="G165" s="172"/>
      <c r="H165" s="172"/>
      <c r="I165" s="172"/>
      <c r="J165" s="172"/>
      <c r="K165" s="172"/>
      <c r="L165" s="172"/>
      <c r="M165" s="172"/>
      <c r="N165" s="17"/>
      <c r="O165" s="27" t="s">
        <v>438</v>
      </c>
      <c r="P165" s="50"/>
      <c r="Q165" s="50"/>
      <c r="R165" s="50">
        <v>29</v>
      </c>
      <c r="S165" s="50">
        <v>12</v>
      </c>
      <c r="T165" s="50"/>
      <c r="U165" s="50"/>
      <c r="V165" s="50"/>
      <c r="W165" s="50"/>
      <c r="X165" s="50"/>
      <c r="Y165" s="50"/>
      <c r="Z165" s="50"/>
      <c r="AA165" s="50">
        <v>135</v>
      </c>
      <c r="AB165" s="50">
        <v>204</v>
      </c>
      <c r="AC165" s="50">
        <v>3.3</v>
      </c>
      <c r="AD165" s="50"/>
      <c r="AE165" s="50" t="s">
        <v>570</v>
      </c>
      <c r="AF165" s="50"/>
      <c r="AG165" s="17"/>
      <c r="AH165" s="17"/>
      <c r="AI165" s="17"/>
      <c r="AJ165" s="17"/>
      <c r="AK165" s="17"/>
      <c r="AL165" s="17"/>
      <c r="AM165" s="17"/>
      <c r="AN165" s="17"/>
      <c r="AO165" s="17"/>
      <c r="AP165" s="17"/>
      <c r="AQ165" s="17"/>
      <c r="AR165" s="17"/>
      <c r="AS165" s="17"/>
      <c r="AT165" s="17"/>
      <c r="AU165" s="17"/>
      <c r="AV165" s="17"/>
      <c r="AW165" s="17"/>
      <c r="AX165" s="17"/>
      <c r="AY165" s="17"/>
    </row>
    <row r="166" spans="1:51" x14ac:dyDescent="0.2">
      <c r="A166" s="22" t="s">
        <v>0</v>
      </c>
      <c r="B166" s="22" t="s">
        <v>1</v>
      </c>
      <c r="C166" s="22" t="s">
        <v>2</v>
      </c>
      <c r="D166" s="22" t="s">
        <v>3</v>
      </c>
      <c r="E166" s="22" t="s">
        <v>4</v>
      </c>
      <c r="F166" s="22" t="s">
        <v>5</v>
      </c>
      <c r="G166" s="22" t="s">
        <v>6</v>
      </c>
      <c r="H166" s="22" t="s">
        <v>140</v>
      </c>
      <c r="I166" s="22" t="s">
        <v>156</v>
      </c>
      <c r="J166" s="22" t="s">
        <v>157</v>
      </c>
      <c r="K166" s="22" t="s">
        <v>7</v>
      </c>
      <c r="L166" s="22" t="s">
        <v>122</v>
      </c>
      <c r="M166" s="22" t="s">
        <v>1049</v>
      </c>
      <c r="N166" s="17"/>
      <c r="O166" s="27" t="s">
        <v>436</v>
      </c>
      <c r="P166" s="50"/>
      <c r="Q166" s="50"/>
      <c r="R166" s="50">
        <v>15</v>
      </c>
      <c r="S166" s="50"/>
      <c r="T166" s="50"/>
      <c r="U166" s="50"/>
      <c r="V166" s="50"/>
      <c r="W166" s="50"/>
      <c r="X166" s="50"/>
      <c r="Y166" s="50"/>
      <c r="Z166" s="50"/>
      <c r="AA166" s="50">
        <v>163</v>
      </c>
      <c r="AB166" s="50">
        <v>246</v>
      </c>
      <c r="AC166" s="50">
        <v>3.8</v>
      </c>
      <c r="AD166" s="50"/>
      <c r="AE166" s="50" t="s">
        <v>570</v>
      </c>
      <c r="AF166" s="50"/>
      <c r="AG166" s="17"/>
      <c r="AH166" s="17"/>
      <c r="AI166" s="17"/>
      <c r="AJ166" s="17"/>
      <c r="AK166" s="17"/>
      <c r="AL166" s="17"/>
      <c r="AM166" s="17"/>
      <c r="AN166" s="17"/>
      <c r="AO166" s="17"/>
      <c r="AP166" s="17"/>
      <c r="AQ166" s="17"/>
      <c r="AR166" s="17"/>
      <c r="AS166" s="17"/>
      <c r="AT166" s="17"/>
      <c r="AU166" s="17"/>
      <c r="AV166" s="17"/>
      <c r="AW166" s="17"/>
      <c r="AX166" s="17"/>
      <c r="AY166" s="17"/>
    </row>
    <row r="167" spans="1:51" x14ac:dyDescent="0.2">
      <c r="A167" s="21" t="s">
        <v>393</v>
      </c>
      <c r="B167" s="19"/>
      <c r="C167" s="19"/>
      <c r="D167" s="19"/>
      <c r="E167" s="19"/>
      <c r="F167" s="19"/>
      <c r="G167" s="19"/>
      <c r="H167" s="19"/>
      <c r="I167" s="19"/>
      <c r="J167" s="19"/>
      <c r="K167" s="19"/>
      <c r="L167" s="19"/>
      <c r="M167" s="19"/>
      <c r="N167" s="17"/>
      <c r="O167" s="27" t="s">
        <v>792</v>
      </c>
      <c r="P167" s="50">
        <v>1</v>
      </c>
      <c r="Q167" s="50"/>
      <c r="R167" s="50">
        <f>IF(Patch&lt;6,20,26)</f>
        <v>26</v>
      </c>
      <c r="S167" s="50">
        <f>IF(Patch&lt;6,36,41)</f>
        <v>41</v>
      </c>
      <c r="T167" s="50"/>
      <c r="U167" s="50"/>
      <c r="V167" s="50"/>
      <c r="W167" s="50"/>
      <c r="X167" s="50"/>
      <c r="Y167" s="50"/>
      <c r="Z167" s="50"/>
      <c r="AA167" s="50">
        <f>IF(Patch&lt;6,196,235)</f>
        <v>235</v>
      </c>
      <c r="AB167" s="50">
        <f>IF(Patch&lt;6,295,353)</f>
        <v>353</v>
      </c>
      <c r="AC167" s="50">
        <v>3.8</v>
      </c>
      <c r="AD167" s="50"/>
      <c r="AE167" s="50" t="s">
        <v>570</v>
      </c>
      <c r="AF167" s="50"/>
      <c r="AG167" s="17"/>
      <c r="AH167" s="17"/>
      <c r="AI167" s="17"/>
      <c r="AJ167" s="17"/>
      <c r="AK167" s="17"/>
      <c r="AL167" s="17"/>
      <c r="AM167" s="17"/>
      <c r="AN167" s="17"/>
      <c r="AO167" s="17"/>
      <c r="AP167" s="17"/>
      <c r="AQ167" s="17"/>
      <c r="AR167" s="17"/>
      <c r="AS167" s="17"/>
      <c r="AT167" s="17"/>
      <c r="AU167" s="17"/>
      <c r="AV167" s="17"/>
      <c r="AW167" s="17"/>
      <c r="AX167" s="17"/>
      <c r="AY167" s="17"/>
    </row>
    <row r="168" spans="1:51" x14ac:dyDescent="0.2">
      <c r="A168" s="21" t="s">
        <v>1050</v>
      </c>
      <c r="B168" s="19"/>
      <c r="C168" s="19"/>
      <c r="D168" s="19"/>
      <c r="E168" s="19"/>
      <c r="F168" s="19"/>
      <c r="G168" s="19"/>
      <c r="H168" s="19"/>
      <c r="I168" s="19"/>
      <c r="J168" s="19"/>
      <c r="K168" s="19"/>
      <c r="L168" s="19"/>
      <c r="M168" s="19"/>
      <c r="N168" s="17"/>
      <c r="O168" s="27" t="s">
        <v>434</v>
      </c>
      <c r="P168" s="50"/>
      <c r="Q168" s="50"/>
      <c r="R168" s="50"/>
      <c r="S168" s="50"/>
      <c r="T168" s="50"/>
      <c r="U168" s="50"/>
      <c r="V168" s="50"/>
      <c r="W168" s="50"/>
      <c r="X168" s="50"/>
      <c r="Y168" s="50"/>
      <c r="Z168" s="50"/>
      <c r="AA168" s="50">
        <v>159</v>
      </c>
      <c r="AB168" s="50">
        <v>248</v>
      </c>
      <c r="AC168" s="50">
        <v>3.6</v>
      </c>
      <c r="AD168" s="50">
        <f ca="1">210*VLOOKUP(O168,ProcChance,4,FALSE)*(WhiteMHConnects+YellowConnects+WindfuryConnects+HoJConnects)*(1-MobMitigation)*DeathWishMod*(1+IF(Base2HSpeed&gt;0,0.01*THSpec,0))*(YellowCrits*2+YellowHits)/100</f>
        <v>13.117873669826844</v>
      </c>
      <c r="AE168" s="50" t="s">
        <v>570</v>
      </c>
      <c r="AF168" s="50">
        <f ca="1">210*VLOOKUP(O168,ProcChance,4,FALSE)*(WhiteMHConnects20+YellowConnects20+WindfuryConnects20+HoJConnects20)*(1-MobMitigation20)*DeathWishMod*(1+IF(Base2HSpeed&gt;0,0.01*THSpec,0))*(YellowCrits*2+YellowHits)/100</f>
        <v>17.099791144154082</v>
      </c>
      <c r="AG168" s="17"/>
      <c r="AH168" s="17"/>
      <c r="AI168" s="17"/>
      <c r="AJ168" s="17"/>
      <c r="AK168" s="17"/>
      <c r="AL168" s="17"/>
      <c r="AM168" s="17"/>
      <c r="AN168" s="17"/>
      <c r="AO168" s="17"/>
      <c r="AP168" s="17"/>
      <c r="AQ168" s="17"/>
      <c r="AR168" s="17"/>
      <c r="AS168" s="17"/>
      <c r="AT168" s="17"/>
      <c r="AU168" s="17"/>
      <c r="AV168" s="17"/>
      <c r="AW168" s="17"/>
      <c r="AX168" s="17"/>
      <c r="AY168" s="17"/>
    </row>
    <row r="169" spans="1:51" x14ac:dyDescent="0.2">
      <c r="A169" s="21" t="s">
        <v>172</v>
      </c>
      <c r="B169" s="20">
        <v>1</v>
      </c>
      <c r="C169" s="20"/>
      <c r="D169" s="20">
        <v>15</v>
      </c>
      <c r="E169" s="20">
        <v>15</v>
      </c>
      <c r="F169" s="20"/>
      <c r="G169" s="20"/>
      <c r="H169" s="20"/>
      <c r="I169" s="20"/>
      <c r="J169" s="20"/>
      <c r="K169" s="20">
        <v>130</v>
      </c>
      <c r="L169" s="20">
        <v>5</v>
      </c>
      <c r="M169" s="20" t="s">
        <v>558</v>
      </c>
      <c r="N169" s="17"/>
      <c r="O169" s="27" t="s">
        <v>1175</v>
      </c>
      <c r="P169" s="50">
        <v>2</v>
      </c>
      <c r="Q169" s="50"/>
      <c r="R169" s="50">
        <v>20</v>
      </c>
      <c r="S169" s="50">
        <v>46</v>
      </c>
      <c r="T169" s="50"/>
      <c r="U169" s="50"/>
      <c r="V169" s="50"/>
      <c r="W169" s="50"/>
      <c r="X169" s="50"/>
      <c r="Y169" s="50"/>
      <c r="Z169" s="50"/>
      <c r="AA169" s="50">
        <v>289</v>
      </c>
      <c r="AB169" s="50">
        <v>435</v>
      </c>
      <c r="AC169" s="50">
        <v>3.8</v>
      </c>
      <c r="AD169" s="50"/>
      <c r="AE169" s="50" t="s">
        <v>570</v>
      </c>
      <c r="AF169" s="50"/>
      <c r="AG169" s="17"/>
      <c r="AH169" s="17"/>
      <c r="AI169" s="17"/>
      <c r="AJ169" s="17"/>
      <c r="AK169" s="17"/>
      <c r="AL169" s="17"/>
      <c r="AM169" s="17"/>
      <c r="AN169" s="17"/>
      <c r="AO169" s="17"/>
      <c r="AP169" s="17"/>
      <c r="AQ169" s="17"/>
      <c r="AR169" s="17"/>
      <c r="AS169" s="17"/>
      <c r="AT169" s="17"/>
      <c r="AU169" s="17"/>
      <c r="AV169" s="17"/>
      <c r="AW169" s="17"/>
      <c r="AX169" s="17"/>
      <c r="AY169" s="17"/>
    </row>
    <row r="170" spans="1:51" x14ac:dyDescent="0.2">
      <c r="A170" s="21" t="s">
        <v>655</v>
      </c>
      <c r="B170" s="20">
        <v>1</v>
      </c>
      <c r="C170" s="20"/>
      <c r="D170" s="20"/>
      <c r="E170" s="20">
        <v>9</v>
      </c>
      <c r="F170" s="20"/>
      <c r="G170" s="20">
        <v>28</v>
      </c>
      <c r="H170" s="20"/>
      <c r="I170" s="20"/>
      <c r="J170" s="20"/>
      <c r="K170" s="20">
        <v>103</v>
      </c>
      <c r="L170" s="20"/>
      <c r="M170" s="20"/>
      <c r="N170" s="17"/>
      <c r="O170" s="27" t="s">
        <v>968</v>
      </c>
      <c r="P170" s="50"/>
      <c r="Q170" s="50"/>
      <c r="R170" s="50"/>
      <c r="S170" s="50"/>
      <c r="T170" s="50"/>
      <c r="U170" s="50"/>
      <c r="V170" s="50"/>
      <c r="W170" s="50"/>
      <c r="X170" s="50"/>
      <c r="Y170" s="50"/>
      <c r="Z170" s="50"/>
      <c r="AA170" s="50">
        <f>IF(Patch&lt;10,142,155)</f>
        <v>155</v>
      </c>
      <c r="AB170" s="50">
        <f>IF(Patch&lt;10,214,233)</f>
        <v>233</v>
      </c>
      <c r="AC170" s="50">
        <v>3.6</v>
      </c>
      <c r="AD170" s="50"/>
      <c r="AE170" s="50" t="s">
        <v>570</v>
      </c>
      <c r="AF170" s="50"/>
      <c r="AG170" s="17"/>
      <c r="AH170" s="17"/>
      <c r="AI170" s="17"/>
      <c r="AJ170" s="17"/>
      <c r="AK170" s="17"/>
      <c r="AL170" s="17"/>
      <c r="AM170" s="17"/>
      <c r="AN170" s="17"/>
      <c r="AO170" s="17"/>
      <c r="AP170" s="17"/>
      <c r="AQ170" s="17"/>
      <c r="AR170" s="17"/>
      <c r="AS170" s="17"/>
      <c r="AT170" s="17"/>
      <c r="AU170" s="17"/>
      <c r="AV170" s="17"/>
      <c r="AW170" s="17"/>
      <c r="AX170" s="17"/>
      <c r="AY170" s="17"/>
    </row>
    <row r="171" spans="1:51" x14ac:dyDescent="0.2">
      <c r="A171" s="21" t="s">
        <v>497</v>
      </c>
      <c r="B171" s="20"/>
      <c r="C171" s="20"/>
      <c r="D171" s="20"/>
      <c r="E171" s="20"/>
      <c r="F171" s="20"/>
      <c r="G171" s="20"/>
      <c r="H171" s="20"/>
      <c r="I171" s="20"/>
      <c r="J171" s="20"/>
      <c r="K171" s="20">
        <v>201</v>
      </c>
      <c r="L171" s="20">
        <v>7</v>
      </c>
      <c r="M171" s="20" t="s">
        <v>572</v>
      </c>
      <c r="N171" s="17"/>
      <c r="O171" s="27" t="s">
        <v>429</v>
      </c>
      <c r="P171" s="50"/>
      <c r="Q171" s="50"/>
      <c r="R171" s="50">
        <v>12</v>
      </c>
      <c r="S171" s="50">
        <v>12</v>
      </c>
      <c r="T171" s="50"/>
      <c r="U171" s="50"/>
      <c r="V171" s="50"/>
      <c r="W171" s="50"/>
      <c r="X171" s="50"/>
      <c r="Y171" s="50"/>
      <c r="Z171" s="50"/>
      <c r="AA171" s="50">
        <v>223</v>
      </c>
      <c r="AB171" s="50">
        <v>372</v>
      </c>
      <c r="AC171" s="50">
        <v>3.7</v>
      </c>
      <c r="AD171" s="50">
        <f ca="1">303*0.8*VLOOKUP(O171,ProcChance,4,FALSE)*(WhiteMHConnects+YellowConnects+WindfuryConnects+HoJConnects)*IF(Spell_Crit&gt;0,1+1.5*Spell_Crit/100,1)</f>
        <v>22.939209468708096</v>
      </c>
      <c r="AE171" s="50" t="s">
        <v>570</v>
      </c>
      <c r="AF171" s="50">
        <f ca="1">303*0.8*VLOOKUP(O171,ProcChance,4,FALSE)*(WhiteMHConnects20+YellowConnects20+WindfuryConnects20+HoJConnects20)*IF(Spell_Crit&gt;0,1+1.5*Spell_Crit/100,1)</f>
        <v>29.902383633191967</v>
      </c>
      <c r="AG171" s="17"/>
      <c r="AH171" s="17"/>
      <c r="AI171" s="17"/>
      <c r="AJ171" s="17"/>
      <c r="AK171" s="17"/>
      <c r="AL171" s="17"/>
      <c r="AM171" s="17"/>
      <c r="AN171" s="17"/>
      <c r="AO171" s="17"/>
      <c r="AP171" s="17"/>
      <c r="AQ171" s="17"/>
      <c r="AR171" s="17"/>
      <c r="AS171" s="17"/>
      <c r="AT171" s="17"/>
      <c r="AU171" s="17"/>
      <c r="AV171" s="17"/>
      <c r="AW171" s="17"/>
      <c r="AX171" s="17"/>
      <c r="AY171" s="17"/>
    </row>
    <row r="172" spans="1:51" x14ac:dyDescent="0.2">
      <c r="A172" s="21" t="s">
        <v>166</v>
      </c>
      <c r="B172" s="20">
        <v>1</v>
      </c>
      <c r="C172" s="20"/>
      <c r="D172" s="20"/>
      <c r="E172" s="20">
        <v>13</v>
      </c>
      <c r="F172" s="20"/>
      <c r="G172" s="20">
        <v>54</v>
      </c>
      <c r="H172" s="20"/>
      <c r="I172" s="20"/>
      <c r="J172" s="20"/>
      <c r="K172" s="20">
        <v>488</v>
      </c>
      <c r="L172" s="20"/>
      <c r="M172" s="20"/>
      <c r="N172" s="17"/>
      <c r="O172" s="27" t="s">
        <v>431</v>
      </c>
      <c r="P172" s="50"/>
      <c r="Q172" s="50"/>
      <c r="R172" s="50"/>
      <c r="S172" s="50"/>
      <c r="T172" s="50"/>
      <c r="U172" s="50"/>
      <c r="V172" s="50"/>
      <c r="W172" s="50"/>
      <c r="X172" s="50"/>
      <c r="Y172" s="50"/>
      <c r="Z172" s="50"/>
      <c r="AA172" s="50">
        <v>175</v>
      </c>
      <c r="AB172" s="50">
        <v>295</v>
      </c>
      <c r="AC172" s="50">
        <v>3.7</v>
      </c>
      <c r="AD172" s="50">
        <f ca="1">92*0.8*VLOOKUP(O172,ProcChance,4,FALSE)*(WhiteMHConnects+YellowConnects+WindfuryConnects+HoJConnects)*IF(Spell_Crit&gt;0,1+1.5*Spell_Crit/100,1)</f>
        <v>4.6433603324997685</v>
      </c>
      <c r="AE172" s="50" t="s">
        <v>570</v>
      </c>
      <c r="AF172" s="50">
        <f ca="1">92*0.8*VLOOKUP(O172,ProcChance,4,FALSE)*(WhiteMHConnects20+YellowConnects20+WindfuryConnects20+HoJConnects20)*IF(Spell_Crit&gt;0,1+1.5*Spell_Crit/100,1)</f>
        <v>6.0528477321312675</v>
      </c>
      <c r="AG172" s="17"/>
      <c r="AH172" s="17"/>
      <c r="AI172" s="17"/>
      <c r="AJ172" s="17"/>
      <c r="AK172" s="17"/>
      <c r="AL172" s="17"/>
      <c r="AM172" s="17"/>
      <c r="AN172" s="17"/>
      <c r="AO172" s="17"/>
      <c r="AP172" s="17"/>
      <c r="AQ172" s="17"/>
      <c r="AR172" s="17"/>
      <c r="AS172" s="17"/>
      <c r="AT172" s="17"/>
      <c r="AU172" s="17"/>
      <c r="AV172" s="17"/>
      <c r="AW172" s="17"/>
      <c r="AX172" s="17"/>
      <c r="AY172" s="17"/>
    </row>
    <row r="173" spans="1:51" x14ac:dyDescent="0.2">
      <c r="A173" s="21" t="s">
        <v>134</v>
      </c>
      <c r="B173" s="20">
        <v>1</v>
      </c>
      <c r="C173" s="20">
        <v>1</v>
      </c>
      <c r="D173" s="20">
        <v>35</v>
      </c>
      <c r="E173" s="20">
        <v>15</v>
      </c>
      <c r="F173" s="20"/>
      <c r="G173" s="20"/>
      <c r="H173" s="20"/>
      <c r="I173" s="20"/>
      <c r="J173" s="20"/>
      <c r="K173" s="20">
        <v>615</v>
      </c>
      <c r="L173" s="20"/>
      <c r="M173" s="20"/>
      <c r="N173" s="17"/>
      <c r="O173" s="27" t="s">
        <v>433</v>
      </c>
      <c r="P173" s="50">
        <v>2</v>
      </c>
      <c r="Q173" s="50"/>
      <c r="R173" s="50">
        <v>19</v>
      </c>
      <c r="S173" s="50">
        <v>15</v>
      </c>
      <c r="T173" s="50"/>
      <c r="U173" s="50"/>
      <c r="V173" s="50"/>
      <c r="W173" s="50"/>
      <c r="X173" s="50"/>
      <c r="Y173" s="50"/>
      <c r="Z173" s="50"/>
      <c r="AA173" s="50">
        <v>175</v>
      </c>
      <c r="AB173" s="50">
        <v>292</v>
      </c>
      <c r="AC173" s="50">
        <v>3.8</v>
      </c>
      <c r="AD173" s="50"/>
      <c r="AE173" s="50" t="s">
        <v>570</v>
      </c>
      <c r="AF173" s="50"/>
      <c r="AG173" s="17"/>
      <c r="AH173" s="17"/>
      <c r="AI173" s="17"/>
      <c r="AJ173" s="17"/>
      <c r="AK173" s="17"/>
      <c r="AL173" s="17"/>
      <c r="AM173" s="17"/>
      <c r="AN173" s="17"/>
      <c r="AO173" s="17"/>
      <c r="AP173" s="17"/>
      <c r="AQ173" s="17"/>
      <c r="AR173" s="17"/>
      <c r="AS173" s="17"/>
      <c r="AT173" s="17"/>
      <c r="AU173" s="17"/>
      <c r="AV173" s="17"/>
      <c r="AW173" s="17"/>
      <c r="AX173" s="17"/>
      <c r="AY173" s="17"/>
    </row>
    <row r="174" spans="1:51" x14ac:dyDescent="0.2">
      <c r="A174" s="21" t="s">
        <v>609</v>
      </c>
      <c r="B174" s="20">
        <v>1</v>
      </c>
      <c r="C174" s="20"/>
      <c r="D174" s="20">
        <v>18</v>
      </c>
      <c r="E174" s="20">
        <v>12</v>
      </c>
      <c r="F174" s="20"/>
      <c r="G174" s="20"/>
      <c r="H174" s="20"/>
      <c r="I174" s="20"/>
      <c r="J174" s="20"/>
      <c r="K174" s="20">
        <v>393</v>
      </c>
      <c r="L174" s="20"/>
      <c r="M174" s="20"/>
      <c r="N174" s="17"/>
      <c r="O174" s="30" t="s">
        <v>932</v>
      </c>
      <c r="P174" s="51"/>
      <c r="Q174" s="51"/>
      <c r="R174" s="51">
        <v>16</v>
      </c>
      <c r="S174" s="51"/>
      <c r="T174" s="51">
        <v>5</v>
      </c>
      <c r="U174" s="51"/>
      <c r="V174" s="51"/>
      <c r="W174" s="51"/>
      <c r="X174" s="51"/>
      <c r="Y174" s="51"/>
      <c r="Z174" s="51"/>
      <c r="AA174" s="51">
        <v>46</v>
      </c>
      <c r="AB174" s="51">
        <v>70</v>
      </c>
      <c r="AC174" s="51">
        <v>2</v>
      </c>
      <c r="AD174" s="51"/>
      <c r="AE174" s="51" t="s">
        <v>570</v>
      </c>
      <c r="AF174" s="51"/>
      <c r="AG174" s="17"/>
      <c r="AH174" s="17"/>
      <c r="AI174" s="17"/>
      <c r="AJ174" s="17"/>
      <c r="AK174" s="17"/>
      <c r="AL174" s="17"/>
      <c r="AM174" s="17"/>
      <c r="AN174" s="17"/>
      <c r="AO174" s="17"/>
      <c r="AP174" s="17"/>
      <c r="AQ174" s="17"/>
      <c r="AR174" s="17"/>
      <c r="AS174" s="17"/>
      <c r="AT174" s="17"/>
      <c r="AU174" s="17"/>
      <c r="AV174" s="17"/>
      <c r="AW174" s="17"/>
      <c r="AX174" s="17"/>
      <c r="AY174" s="17"/>
    </row>
    <row r="175" spans="1:51" x14ac:dyDescent="0.2">
      <c r="A175" s="21" t="s">
        <v>168</v>
      </c>
      <c r="B175" s="20">
        <f>IF(Patch&lt;5,1,0)</f>
        <v>0</v>
      </c>
      <c r="C175" s="20">
        <f>IF(Patch&lt;5,0,1)</f>
        <v>1</v>
      </c>
      <c r="D175" s="20">
        <f>IF(Patch&lt;5,18,22)</f>
        <v>22</v>
      </c>
      <c r="E175" s="20">
        <v>17</v>
      </c>
      <c r="F175" s="20">
        <f>IF(Patch&lt;5,4,0)</f>
        <v>0</v>
      </c>
      <c r="G175" s="20"/>
      <c r="H175" s="20"/>
      <c r="I175" s="20"/>
      <c r="J175" s="20">
        <f>IF(Patch&lt;5,0,IF(Patch&lt;7,8,5))</f>
        <v>5</v>
      </c>
      <c r="K175" s="20">
        <v>468</v>
      </c>
      <c r="L175" s="20"/>
      <c r="M175" s="20"/>
      <c r="N175" s="17"/>
      <c r="O175" s="39" t="s">
        <v>1026</v>
      </c>
      <c r="P175" s="31"/>
      <c r="Q175" s="31"/>
      <c r="R175" s="31"/>
      <c r="S175" s="31"/>
      <c r="T175" s="31"/>
      <c r="U175" s="31"/>
      <c r="V175" s="31"/>
      <c r="W175" s="31"/>
      <c r="X175" s="31"/>
      <c r="Y175" s="31"/>
      <c r="Z175" s="31"/>
      <c r="AA175" s="31"/>
      <c r="AB175" s="31"/>
      <c r="AC175" s="31"/>
      <c r="AD175" s="31"/>
      <c r="AE175" s="31"/>
      <c r="AF175" s="31"/>
      <c r="AG175" s="17"/>
      <c r="AH175" s="17"/>
      <c r="AI175" s="17"/>
      <c r="AJ175" s="17"/>
      <c r="AK175" s="17"/>
      <c r="AL175" s="17"/>
      <c r="AM175" s="17"/>
      <c r="AN175" s="17"/>
      <c r="AO175" s="17"/>
      <c r="AP175" s="17"/>
      <c r="AQ175" s="17"/>
      <c r="AR175" s="17"/>
      <c r="AS175" s="17"/>
      <c r="AT175" s="17"/>
      <c r="AU175" s="17"/>
      <c r="AV175" s="17"/>
      <c r="AW175" s="17"/>
      <c r="AX175" s="17"/>
      <c r="AY175" s="17"/>
    </row>
    <row r="176" spans="1:51" x14ac:dyDescent="0.2">
      <c r="A176" s="21" t="s">
        <v>165</v>
      </c>
      <c r="B176" s="20"/>
      <c r="C176" s="20"/>
      <c r="D176" s="20">
        <v>19</v>
      </c>
      <c r="E176" s="20">
        <v>20</v>
      </c>
      <c r="F176" s="20">
        <v>18</v>
      </c>
      <c r="G176" s="20"/>
      <c r="H176" s="20"/>
      <c r="I176" s="20"/>
      <c r="J176" s="20">
        <v>9</v>
      </c>
      <c r="K176" s="20">
        <v>535</v>
      </c>
      <c r="L176" s="20"/>
      <c r="M176" s="20"/>
      <c r="N176" s="17"/>
      <c r="O176" s="33" t="s">
        <v>1027</v>
      </c>
      <c r="P176" s="34"/>
      <c r="Q176" s="34"/>
      <c r="R176" s="34"/>
      <c r="S176" s="34"/>
      <c r="T176" s="34"/>
      <c r="U176" s="34"/>
      <c r="V176" s="34"/>
      <c r="W176" s="34"/>
      <c r="X176" s="34"/>
      <c r="Y176" s="34"/>
      <c r="Z176" s="34"/>
      <c r="AA176" s="34"/>
      <c r="AB176" s="34"/>
      <c r="AC176" s="34"/>
      <c r="AD176" s="34"/>
      <c r="AE176" s="34"/>
      <c r="AF176" s="34"/>
      <c r="AG176" s="17"/>
      <c r="AH176" s="17"/>
      <c r="AI176" s="17"/>
      <c r="AJ176" s="17"/>
      <c r="AK176" s="17"/>
      <c r="AL176" s="17"/>
      <c r="AM176" s="17"/>
      <c r="AN176" s="17"/>
      <c r="AO176" s="17"/>
      <c r="AP176" s="17"/>
      <c r="AQ176" s="17"/>
      <c r="AR176" s="17"/>
      <c r="AS176" s="17"/>
      <c r="AT176" s="17"/>
      <c r="AU176" s="17"/>
      <c r="AV176" s="17"/>
      <c r="AW176" s="17"/>
      <c r="AX176" s="17"/>
      <c r="AY176" s="17"/>
    </row>
    <row r="177" spans="1:51" x14ac:dyDescent="0.2">
      <c r="A177" s="21" t="s">
        <v>167</v>
      </c>
      <c r="B177" s="20"/>
      <c r="C177" s="20"/>
      <c r="D177" s="20">
        <v>15</v>
      </c>
      <c r="E177" s="20">
        <v>18</v>
      </c>
      <c r="F177" s="20"/>
      <c r="G177" s="20"/>
      <c r="H177" s="20"/>
      <c r="I177" s="20">
        <v>1</v>
      </c>
      <c r="J177" s="20">
        <v>5</v>
      </c>
      <c r="K177" s="20">
        <v>482</v>
      </c>
      <c r="L177" s="20"/>
      <c r="M177" s="20"/>
      <c r="N177" s="17"/>
      <c r="O177" s="36" t="s">
        <v>1026</v>
      </c>
      <c r="P177" s="37"/>
      <c r="Q177" s="37"/>
      <c r="R177" s="37"/>
      <c r="S177" s="37"/>
      <c r="T177" s="37"/>
      <c r="U177" s="37"/>
      <c r="V177" s="37"/>
      <c r="W177" s="37"/>
      <c r="X177" s="37"/>
      <c r="Y177" s="37"/>
      <c r="Z177" s="37"/>
      <c r="AA177" s="37"/>
      <c r="AB177" s="37"/>
      <c r="AC177" s="37"/>
      <c r="AD177" s="37"/>
      <c r="AE177" s="37"/>
      <c r="AF177" s="37"/>
      <c r="AG177" s="17"/>
      <c r="AH177" s="17"/>
      <c r="AI177" s="17"/>
      <c r="AJ177" s="17"/>
      <c r="AK177" s="17"/>
      <c r="AL177" s="17"/>
      <c r="AM177" s="17"/>
      <c r="AN177" s="17"/>
      <c r="AO177" s="17"/>
      <c r="AP177" s="17"/>
      <c r="AQ177" s="17"/>
      <c r="AR177" s="17"/>
      <c r="AS177" s="17"/>
      <c r="AT177" s="17"/>
      <c r="AU177" s="17"/>
      <c r="AV177" s="17"/>
      <c r="AW177" s="17"/>
      <c r="AX177" s="17"/>
      <c r="AY177" s="17"/>
    </row>
    <row r="178" spans="1:51" x14ac:dyDescent="0.2">
      <c r="A178" s="21" t="s">
        <v>800</v>
      </c>
      <c r="B178" s="20"/>
      <c r="C178" s="20"/>
      <c r="D178" s="20">
        <v>17</v>
      </c>
      <c r="E178" s="20">
        <v>10</v>
      </c>
      <c r="F178" s="20">
        <v>3</v>
      </c>
      <c r="G178" s="20"/>
      <c r="H178" s="20"/>
      <c r="I178" s="20"/>
      <c r="J178" s="20"/>
      <c r="K178" s="20">
        <v>386</v>
      </c>
      <c r="L178" s="20"/>
      <c r="M178" s="20"/>
      <c r="N178" s="17"/>
      <c r="O178" s="28" t="s">
        <v>440</v>
      </c>
      <c r="P178" s="52"/>
      <c r="Q178" s="52"/>
      <c r="R178" s="52"/>
      <c r="S178" s="52">
        <v>31</v>
      </c>
      <c r="T178" s="52">
        <v>41</v>
      </c>
      <c r="U178" s="52"/>
      <c r="V178" s="52"/>
      <c r="W178" s="52"/>
      <c r="X178" s="52"/>
      <c r="Y178" s="52"/>
      <c r="Z178" s="52"/>
      <c r="AA178" s="52">
        <v>225</v>
      </c>
      <c r="AB178" s="52">
        <v>338</v>
      </c>
      <c r="AC178" s="52">
        <v>3.7</v>
      </c>
      <c r="AD178" s="52"/>
      <c r="AE178" s="52" t="s">
        <v>439</v>
      </c>
      <c r="AF178" s="52"/>
      <c r="AG178" s="17"/>
      <c r="AH178" s="17"/>
      <c r="AI178" s="17"/>
      <c r="AJ178" s="17"/>
      <c r="AK178" s="17"/>
      <c r="AL178" s="17"/>
      <c r="AM178" s="17"/>
      <c r="AN178" s="17"/>
      <c r="AO178" s="17"/>
      <c r="AP178" s="17"/>
      <c r="AQ178" s="17"/>
      <c r="AR178" s="17"/>
      <c r="AS178" s="17"/>
      <c r="AT178" s="17"/>
      <c r="AU178" s="17"/>
      <c r="AV178" s="17"/>
      <c r="AW178" s="17"/>
      <c r="AX178" s="17"/>
      <c r="AY178" s="17"/>
    </row>
    <row r="179" spans="1:51" x14ac:dyDescent="0.2">
      <c r="A179" s="21" t="s">
        <v>164</v>
      </c>
      <c r="B179" s="20"/>
      <c r="C179" s="20"/>
      <c r="D179" s="20">
        <v>15</v>
      </c>
      <c r="E179" s="20">
        <v>20</v>
      </c>
      <c r="F179" s="20"/>
      <c r="G179" s="20"/>
      <c r="H179" s="20"/>
      <c r="I179" s="20">
        <v>1</v>
      </c>
      <c r="J179" s="20">
        <f>IF(Patch&lt;7,10,7)</f>
        <v>7</v>
      </c>
      <c r="K179" s="20">
        <v>535</v>
      </c>
      <c r="L179" s="20"/>
      <c r="M179" s="20"/>
      <c r="N179" s="17"/>
      <c r="O179" s="27" t="s">
        <v>443</v>
      </c>
      <c r="P179" s="50">
        <v>1</v>
      </c>
      <c r="Q179" s="50"/>
      <c r="R179" s="50">
        <v>35</v>
      </c>
      <c r="S179" s="50">
        <v>15</v>
      </c>
      <c r="T179" s="50"/>
      <c r="U179" s="50"/>
      <c r="V179" s="50"/>
      <c r="W179" s="50"/>
      <c r="X179" s="50"/>
      <c r="Y179" s="50"/>
      <c r="Z179" s="50"/>
      <c r="AA179" s="50">
        <v>105</v>
      </c>
      <c r="AB179" s="50">
        <v>158</v>
      </c>
      <c r="AC179" s="50">
        <v>2.1</v>
      </c>
      <c r="AD179" s="50"/>
      <c r="AE179" s="50" t="s">
        <v>439</v>
      </c>
      <c r="AF179" s="50"/>
      <c r="AG179" s="17"/>
      <c r="AH179" s="17"/>
      <c r="AI179" s="17"/>
      <c r="AJ179" s="17"/>
      <c r="AK179" s="17"/>
      <c r="AL179" s="17"/>
      <c r="AM179" s="17"/>
      <c r="AN179" s="17"/>
      <c r="AO179" s="17"/>
      <c r="AP179" s="17"/>
      <c r="AQ179" s="17"/>
      <c r="AR179" s="17"/>
      <c r="AS179" s="17"/>
      <c r="AT179" s="17"/>
      <c r="AU179" s="17"/>
      <c r="AV179" s="17"/>
      <c r="AW179" s="17"/>
      <c r="AX179" s="17"/>
      <c r="AY179" s="17"/>
    </row>
    <row r="180" spans="1:51" x14ac:dyDescent="0.2">
      <c r="A180" s="21" t="s">
        <v>171</v>
      </c>
      <c r="B180" s="20"/>
      <c r="C180" s="20">
        <v>1</v>
      </c>
      <c r="D180" s="20">
        <v>28</v>
      </c>
      <c r="E180" s="20">
        <v>6</v>
      </c>
      <c r="F180" s="20">
        <v>20</v>
      </c>
      <c r="G180" s="20"/>
      <c r="H180" s="20"/>
      <c r="I180" s="20"/>
      <c r="J180" s="20"/>
      <c r="K180" s="20">
        <v>140</v>
      </c>
      <c r="L180" s="20"/>
      <c r="M180" s="20"/>
      <c r="N180" s="17"/>
      <c r="O180" s="27" t="s">
        <v>445</v>
      </c>
      <c r="P180" s="50"/>
      <c r="Q180" s="50"/>
      <c r="R180" s="50"/>
      <c r="S180" s="50"/>
      <c r="T180" s="50"/>
      <c r="U180" s="50"/>
      <c r="V180" s="50"/>
      <c r="W180" s="50"/>
      <c r="X180" s="50"/>
      <c r="Y180" s="50"/>
      <c r="Z180" s="50"/>
      <c r="AA180" s="50">
        <v>151</v>
      </c>
      <c r="AB180" s="50">
        <v>227</v>
      </c>
      <c r="AC180" s="50">
        <v>3.5</v>
      </c>
      <c r="AD180" s="50">
        <f ca="1">432*VLOOKUP(O180,ProcChance,4,FALSE)*(WhiteMHConnects+YellowConnects+WindfuryConnects+HoJConnects)*(1-MobMitigation)*DeathWishMod*(1+IF(Base2HSpeed&gt;0,0.01*THSpec,0))*(YellowCrits*2+YellowHits)/100</f>
        <v>26.235747339653685</v>
      </c>
      <c r="AE180" s="50" t="s">
        <v>439</v>
      </c>
      <c r="AF180" s="50">
        <f ca="1">432*VLOOKUP(O180,ProcChance,4,FALSE)*(WhiteMHConnects20+YellowConnects20+WindfuryConnects20+HoJConnects20)*(1-MobMitigation20)*DeathWishMod*(1+IF(Base2HSpeed&gt;0,0.01*THSpec,0))*(YellowCrits*2+YellowHits)/100</f>
        <v>34.199582288308157</v>
      </c>
      <c r="AG180" s="17"/>
      <c r="AH180" s="17"/>
      <c r="AI180" s="17"/>
      <c r="AJ180" s="17"/>
      <c r="AK180" s="17"/>
      <c r="AL180" s="17"/>
      <c r="AM180" s="17"/>
      <c r="AN180" s="17"/>
      <c r="AO180" s="17"/>
      <c r="AP180" s="17"/>
      <c r="AQ180" s="17"/>
      <c r="AR180" s="17"/>
      <c r="AS180" s="17"/>
      <c r="AT180" s="17"/>
      <c r="AU180" s="17"/>
      <c r="AV180" s="17"/>
      <c r="AW180" s="17"/>
      <c r="AX180" s="17"/>
      <c r="AY180" s="17"/>
    </row>
    <row r="181" spans="1:51" x14ac:dyDescent="0.2">
      <c r="A181" s="21" t="s">
        <v>795</v>
      </c>
      <c r="B181" s="20">
        <f>IF(Patch&lt;10,0,1)</f>
        <v>1</v>
      </c>
      <c r="C181" s="20"/>
      <c r="D181" s="20">
        <f>IF(Patch&lt;10,18,20)</f>
        <v>20</v>
      </c>
      <c r="E181" s="20">
        <f>IF(Patch&lt;10,17,23)</f>
        <v>23</v>
      </c>
      <c r="F181" s="20">
        <f>IF(Patch&lt;10,15,0)</f>
        <v>0</v>
      </c>
      <c r="G181" s="20"/>
      <c r="H181" s="20"/>
      <c r="I181" s="20"/>
      <c r="J181" s="20"/>
      <c r="K181" s="20">
        <f>IF(Patch&lt;10,461,532)</f>
        <v>532</v>
      </c>
      <c r="L181" s="20"/>
      <c r="M181" s="20"/>
      <c r="N181" s="17"/>
      <c r="O181" s="27" t="s">
        <v>444</v>
      </c>
      <c r="P181" s="50"/>
      <c r="Q181" s="50"/>
      <c r="R181" s="50"/>
      <c r="S181" s="50"/>
      <c r="T181" s="50"/>
      <c r="U181" s="50"/>
      <c r="V181" s="50"/>
      <c r="W181" s="50"/>
      <c r="X181" s="50"/>
      <c r="Y181" s="50"/>
      <c r="Z181" s="50"/>
      <c r="AA181" s="50">
        <v>175</v>
      </c>
      <c r="AB181" s="50">
        <v>263</v>
      </c>
      <c r="AC181" s="50">
        <v>3.5</v>
      </c>
      <c r="AD181" s="50">
        <f ca="1">559.5*VLOOKUP(O181,ProcChance,4,FALSE)*(WhiteMHConnects+YellowConnects+WindfuryConnects+HoJConnects)*(1-MobMitigation)*DeathWishMod*(1+IF(Base2HSpeed&gt;0,0.01*THSpec,0))*(YellowCrits*2+YellowHits)/100</f>
        <v>34.949763420324381</v>
      </c>
      <c r="AE181" s="50" t="s">
        <v>439</v>
      </c>
      <c r="AF181" s="50">
        <f ca="1">559.5*VLOOKUP(O181,ProcChance,4,FALSE)*(WhiteMHConnects20+YellowConnects20+WindfuryConnects20+HoJConnects20)*(1-MobMitigation20)*DeathWishMod*(1+IF(Base2HSpeed&gt;0,0.01*THSpec,0))*(YellowCrits*2+YellowHits)/100</f>
        <v>45.558729262639083</v>
      </c>
      <c r="AG181" s="17"/>
      <c r="AH181" s="17"/>
      <c r="AI181" s="17"/>
      <c r="AJ181" s="17"/>
      <c r="AK181" s="17"/>
      <c r="AL181" s="17"/>
      <c r="AM181" s="17"/>
      <c r="AN181" s="17"/>
      <c r="AO181" s="17"/>
      <c r="AP181" s="17"/>
      <c r="AQ181" s="17"/>
      <c r="AR181" s="17"/>
      <c r="AS181" s="17"/>
      <c r="AT181" s="17"/>
      <c r="AU181" s="17"/>
      <c r="AV181" s="17"/>
      <c r="AW181" s="17"/>
      <c r="AX181" s="17"/>
      <c r="AY181" s="17"/>
    </row>
    <row r="182" spans="1:51" x14ac:dyDescent="0.2">
      <c r="A182" s="21" t="s">
        <v>768</v>
      </c>
      <c r="B182" s="20"/>
      <c r="C182" s="20"/>
      <c r="D182" s="20">
        <f>IF(Patch&lt;9,16,17)</f>
        <v>17</v>
      </c>
      <c r="E182" s="20">
        <f>IF(Patch&lt;9,15,17)</f>
        <v>17</v>
      </c>
      <c r="F182" s="20"/>
      <c r="G182" s="20"/>
      <c r="H182" s="20"/>
      <c r="I182" s="20"/>
      <c r="J182" s="20"/>
      <c r="K182" s="20">
        <f>IF(Patch&lt;9,410,429)</f>
        <v>429</v>
      </c>
      <c r="L182" s="20"/>
      <c r="M182" s="20"/>
      <c r="N182" s="17"/>
      <c r="O182" s="27" t="s">
        <v>448</v>
      </c>
      <c r="P182" s="50"/>
      <c r="Q182" s="50"/>
      <c r="R182" s="50"/>
      <c r="S182" s="50"/>
      <c r="T182" s="50">
        <v>35</v>
      </c>
      <c r="U182" s="50"/>
      <c r="V182" s="50"/>
      <c r="W182" s="50"/>
      <c r="X182" s="50"/>
      <c r="Y182" s="50"/>
      <c r="Z182" s="50"/>
      <c r="AA182" s="50">
        <v>150</v>
      </c>
      <c r="AB182" s="50">
        <v>226</v>
      </c>
      <c r="AC182" s="50">
        <v>3.6</v>
      </c>
      <c r="AD182" s="50"/>
      <c r="AE182" s="50" t="s">
        <v>439</v>
      </c>
      <c r="AF182" s="50"/>
      <c r="AG182" s="17"/>
      <c r="AH182" s="17"/>
      <c r="AI182" s="17"/>
      <c r="AJ182" s="17"/>
      <c r="AK182" s="17"/>
      <c r="AL182" s="17"/>
      <c r="AM182" s="17"/>
      <c r="AN182" s="17"/>
      <c r="AO182" s="17"/>
      <c r="AP182" s="17"/>
      <c r="AQ182" s="17"/>
      <c r="AR182" s="17"/>
      <c r="AS182" s="17"/>
      <c r="AT182" s="17"/>
      <c r="AU182" s="17"/>
      <c r="AV182" s="17"/>
      <c r="AW182" s="17"/>
      <c r="AX182" s="17"/>
      <c r="AY182" s="17"/>
    </row>
    <row r="183" spans="1:51" x14ac:dyDescent="0.2">
      <c r="A183" s="21" t="s">
        <v>170</v>
      </c>
      <c r="B183" s="20">
        <v>1</v>
      </c>
      <c r="C183" s="20"/>
      <c r="D183" s="20">
        <v>9</v>
      </c>
      <c r="E183" s="20">
        <v>15</v>
      </c>
      <c r="F183" s="20"/>
      <c r="G183" s="20"/>
      <c r="H183" s="20"/>
      <c r="I183" s="20"/>
      <c r="J183" s="20"/>
      <c r="K183" s="20">
        <v>398</v>
      </c>
      <c r="L183" s="20"/>
      <c r="M183" s="20"/>
      <c r="N183" s="17"/>
      <c r="O183" s="27" t="s">
        <v>791</v>
      </c>
      <c r="P183" s="50">
        <v>1</v>
      </c>
      <c r="Q183" s="50"/>
      <c r="R183" s="50">
        <f>IF(Patch&lt;6,20,26)</f>
        <v>26</v>
      </c>
      <c r="S183" s="50">
        <f>IF(Patch&lt;6,36,41)</f>
        <v>41</v>
      </c>
      <c r="T183" s="50"/>
      <c r="U183" s="50"/>
      <c r="V183" s="50"/>
      <c r="W183" s="50"/>
      <c r="X183" s="50"/>
      <c r="Y183" s="50"/>
      <c r="Z183" s="50"/>
      <c r="AA183" s="50">
        <f>IF(Patch&lt;6,196,235)</f>
        <v>235</v>
      </c>
      <c r="AB183" s="50">
        <f>IF(Patch&lt;6,295,353)</f>
        <v>353</v>
      </c>
      <c r="AC183" s="50">
        <v>3.8</v>
      </c>
      <c r="AD183" s="50"/>
      <c r="AE183" s="50" t="s">
        <v>439</v>
      </c>
      <c r="AF183" s="50"/>
      <c r="AG183" s="17"/>
      <c r="AH183" s="17"/>
      <c r="AI183" s="17"/>
      <c r="AJ183" s="17"/>
      <c r="AK183" s="17"/>
      <c r="AL183" s="17"/>
      <c r="AM183" s="17"/>
      <c r="AN183" s="17"/>
      <c r="AO183" s="17"/>
      <c r="AP183" s="17"/>
      <c r="AQ183" s="17"/>
      <c r="AR183" s="17"/>
      <c r="AS183" s="17"/>
      <c r="AT183" s="17"/>
      <c r="AU183" s="17"/>
      <c r="AV183" s="17"/>
      <c r="AW183" s="17"/>
      <c r="AX183" s="17"/>
      <c r="AY183" s="17"/>
    </row>
    <row r="184" spans="1:51" x14ac:dyDescent="0.2">
      <c r="A184" s="21" t="s">
        <v>539</v>
      </c>
      <c r="B184" s="20">
        <v>1</v>
      </c>
      <c r="C184" s="20">
        <v>1</v>
      </c>
      <c r="D184" s="20">
        <v>19</v>
      </c>
      <c r="E184" s="20"/>
      <c r="F184" s="20"/>
      <c r="G184" s="20"/>
      <c r="H184" s="20"/>
      <c r="I184" s="20"/>
      <c r="J184" s="20"/>
      <c r="K184" s="20">
        <v>441</v>
      </c>
      <c r="L184" s="20"/>
      <c r="M184" s="20"/>
      <c r="N184" s="17"/>
      <c r="O184" s="27" t="s">
        <v>446</v>
      </c>
      <c r="P184" s="50"/>
      <c r="Q184" s="50"/>
      <c r="R184" s="50">
        <v>13</v>
      </c>
      <c r="S184" s="50">
        <v>20</v>
      </c>
      <c r="T184" s="50">
        <v>21</v>
      </c>
      <c r="U184" s="50"/>
      <c r="V184" s="50"/>
      <c r="W184" s="50"/>
      <c r="X184" s="50"/>
      <c r="Y184" s="50"/>
      <c r="Z184" s="50"/>
      <c r="AA184" s="50">
        <v>155</v>
      </c>
      <c r="AB184" s="50">
        <v>233</v>
      </c>
      <c r="AC184" s="50">
        <v>3.6</v>
      </c>
      <c r="AD184" s="50"/>
      <c r="AE184" s="50" t="s">
        <v>439</v>
      </c>
      <c r="AF184" s="50"/>
      <c r="AG184" s="17"/>
      <c r="AH184" s="17"/>
      <c r="AI184" s="17"/>
      <c r="AJ184" s="17"/>
      <c r="AK184" s="17"/>
      <c r="AL184" s="17"/>
      <c r="AM184" s="17"/>
      <c r="AN184" s="17"/>
      <c r="AO184" s="17"/>
      <c r="AP184" s="17"/>
      <c r="AQ184" s="17"/>
      <c r="AR184" s="17"/>
      <c r="AS184" s="17"/>
      <c r="AT184" s="17"/>
      <c r="AU184" s="17"/>
      <c r="AV184" s="17"/>
      <c r="AW184" s="17"/>
      <c r="AX184" s="17"/>
      <c r="AY184" s="17"/>
    </row>
    <row r="185" spans="1:51" x14ac:dyDescent="0.2">
      <c r="A185" s="21" t="s">
        <v>169</v>
      </c>
      <c r="B185" s="20">
        <v>1</v>
      </c>
      <c r="C185" s="20"/>
      <c r="D185" s="20"/>
      <c r="E185" s="20">
        <v>12</v>
      </c>
      <c r="F185" s="20"/>
      <c r="G185" s="20"/>
      <c r="H185" s="20"/>
      <c r="I185" s="20">
        <v>1</v>
      </c>
      <c r="J185" s="20"/>
      <c r="K185" s="20">
        <v>441</v>
      </c>
      <c r="L185" s="20"/>
      <c r="M185" s="20"/>
      <c r="N185" s="17"/>
      <c r="O185" s="27" t="s">
        <v>447</v>
      </c>
      <c r="P185" s="50"/>
      <c r="Q185" s="50"/>
      <c r="R185" s="50"/>
      <c r="S185" s="50">
        <v>23</v>
      </c>
      <c r="T185" s="50"/>
      <c r="U185" s="50"/>
      <c r="V185" s="50"/>
      <c r="W185" s="50">
        <v>1</v>
      </c>
      <c r="X185" s="50">
        <f>IF(Patch&lt;7,10,7)</f>
        <v>7</v>
      </c>
      <c r="Y185" s="50"/>
      <c r="Z185" s="50"/>
      <c r="AA185" s="50">
        <v>123</v>
      </c>
      <c r="AB185" s="50">
        <v>185</v>
      </c>
      <c r="AC185" s="50">
        <v>2.9</v>
      </c>
      <c r="AD185" s="50"/>
      <c r="AE185" s="50" t="s">
        <v>439</v>
      </c>
      <c r="AF185" s="50"/>
      <c r="AG185" s="17"/>
      <c r="AH185" s="17"/>
      <c r="AI185" s="17"/>
      <c r="AJ185" s="17"/>
      <c r="AK185" s="17"/>
      <c r="AL185" s="17"/>
      <c r="AM185" s="17"/>
      <c r="AN185" s="17"/>
      <c r="AO185" s="17"/>
      <c r="AP185" s="17"/>
      <c r="AQ185" s="17"/>
      <c r="AR185" s="17"/>
      <c r="AS185" s="17"/>
      <c r="AT185" s="17"/>
      <c r="AU185" s="17"/>
      <c r="AV185" s="17"/>
      <c r="AW185" s="17"/>
      <c r="AX185" s="17"/>
      <c r="AY185" s="17"/>
    </row>
    <row r="186" spans="1:51" x14ac:dyDescent="0.2">
      <c r="A186" s="21" t="s">
        <v>769</v>
      </c>
      <c r="B186" s="20"/>
      <c r="C186" s="20">
        <v>2</v>
      </c>
      <c r="D186" s="20">
        <f>IF(Patch&lt;10,6,0)</f>
        <v>0</v>
      </c>
      <c r="E186" s="144">
        <f>IF(Patch&lt;10,0,6)</f>
        <v>6</v>
      </c>
      <c r="F186" s="20">
        <f>IF(Patch&lt;10,6,9)</f>
        <v>9</v>
      </c>
      <c r="G186" s="20"/>
      <c r="H186" s="20"/>
      <c r="I186" s="20"/>
      <c r="J186" s="20"/>
      <c r="K186" s="20">
        <v>221</v>
      </c>
      <c r="L186" s="20"/>
      <c r="M186" s="20"/>
      <c r="N186" s="17"/>
      <c r="O186" s="27" t="s">
        <v>969</v>
      </c>
      <c r="P186" s="50"/>
      <c r="Q186" s="50"/>
      <c r="R186" s="50"/>
      <c r="S186" s="50"/>
      <c r="T186" s="50"/>
      <c r="U186" s="50"/>
      <c r="V186" s="50"/>
      <c r="W186" s="50"/>
      <c r="X186" s="50"/>
      <c r="Y186" s="50"/>
      <c r="Z186" s="50"/>
      <c r="AA186" s="50">
        <f>IF(Patch&lt;4,142,147)</f>
        <v>147</v>
      </c>
      <c r="AB186" s="50">
        <f>IF(Patch&lt;4,214,221)</f>
        <v>221</v>
      </c>
      <c r="AC186" s="50">
        <v>3.1</v>
      </c>
      <c r="AD186" s="50">
        <f ca="1">200*0.8*VLOOKUP(O186,ProcChance,4,FALSE)*(WhiteMHConnects+YellowConnects+WindfuryConnects+HoJConnects)*IF(Spell_Crit&gt;0,1+1.5*Spell_Crit/100,1)</f>
        <v>12.686031460707357</v>
      </c>
      <c r="AE186" s="50" t="s">
        <v>439</v>
      </c>
      <c r="AF186" s="50">
        <f ca="1">200*0.8*VLOOKUP(O186,ProcChance,4,FALSE)*(WhiteMHConnects20+YellowConnects20+WindfuryConnects20+HoJConnects20)*IF(Spell_Crit&gt;0,1+1.5*Spell_Crit/100,1)</f>
        <v>16.536863662990829</v>
      </c>
      <c r="AG186" s="17"/>
      <c r="AH186" s="17"/>
      <c r="AI186" s="17"/>
      <c r="AJ186" s="17"/>
      <c r="AK186" s="17"/>
      <c r="AL186" s="17"/>
      <c r="AM186" s="17"/>
      <c r="AN186" s="17"/>
      <c r="AO186" s="17"/>
      <c r="AP186" s="17"/>
      <c r="AQ186" s="17"/>
      <c r="AR186" s="17"/>
      <c r="AS186" s="17"/>
      <c r="AT186" s="17"/>
      <c r="AU186" s="17"/>
      <c r="AV186" s="17"/>
      <c r="AW186" s="17"/>
      <c r="AX186" s="17"/>
      <c r="AY186" s="17"/>
    </row>
    <row r="187" spans="1:51" x14ac:dyDescent="0.2">
      <c r="A187" s="24"/>
      <c r="B187" s="23"/>
      <c r="C187" s="23"/>
      <c r="D187" s="23"/>
      <c r="E187" s="23"/>
      <c r="F187" s="23"/>
      <c r="G187" s="23"/>
      <c r="H187" s="23"/>
      <c r="I187" s="23"/>
      <c r="J187" s="23"/>
      <c r="K187" s="23"/>
      <c r="L187" s="23"/>
      <c r="M187" s="23"/>
      <c r="N187" s="17"/>
      <c r="O187" s="27" t="s">
        <v>450</v>
      </c>
      <c r="P187" s="50">
        <v>1</v>
      </c>
      <c r="Q187" s="50"/>
      <c r="R187" s="50"/>
      <c r="S187" s="50"/>
      <c r="T187" s="50"/>
      <c r="U187" s="50">
        <v>56</v>
      </c>
      <c r="V187" s="50"/>
      <c r="W187" s="50"/>
      <c r="X187" s="50"/>
      <c r="Y187" s="50"/>
      <c r="Z187" s="50"/>
      <c r="AA187" s="50">
        <v>137</v>
      </c>
      <c r="AB187" s="50">
        <v>206</v>
      </c>
      <c r="AC187" s="50">
        <v>3.4</v>
      </c>
      <c r="AD187" s="50"/>
      <c r="AE187" s="50" t="s">
        <v>439</v>
      </c>
      <c r="AF187" s="50"/>
      <c r="AG187" s="17"/>
      <c r="AH187" s="17"/>
      <c r="AI187" s="17"/>
      <c r="AJ187" s="17"/>
      <c r="AK187" s="17"/>
      <c r="AL187" s="17"/>
      <c r="AM187" s="17"/>
      <c r="AN187" s="17"/>
      <c r="AO187" s="17"/>
      <c r="AP187" s="17"/>
      <c r="AQ187" s="17"/>
      <c r="AR187" s="17"/>
      <c r="AS187" s="17"/>
      <c r="AT187" s="17"/>
      <c r="AU187" s="17"/>
      <c r="AV187" s="17"/>
      <c r="AW187" s="17"/>
      <c r="AX187" s="17"/>
      <c r="AY187" s="17"/>
    </row>
    <row r="188" spans="1:51" x14ac:dyDescent="0.2">
      <c r="A188" s="17"/>
      <c r="B188" s="17"/>
      <c r="C188" s="17"/>
      <c r="D188" s="17"/>
      <c r="E188" s="17"/>
      <c r="F188" s="17"/>
      <c r="G188" s="17"/>
      <c r="H188" s="17"/>
      <c r="I188" s="17"/>
      <c r="J188" s="17"/>
      <c r="K188" s="17"/>
      <c r="L188" s="17"/>
      <c r="M188" s="17"/>
      <c r="N188" s="17"/>
      <c r="O188" s="27" t="s">
        <v>442</v>
      </c>
      <c r="P188" s="50"/>
      <c r="Q188" s="50"/>
      <c r="R188" s="50"/>
      <c r="S188" s="50"/>
      <c r="T188" s="50"/>
      <c r="U188" s="50"/>
      <c r="V188" s="50"/>
      <c r="W188" s="50"/>
      <c r="X188" s="50"/>
      <c r="Y188" s="50"/>
      <c r="Z188" s="50"/>
      <c r="AA188" s="50">
        <v>163</v>
      </c>
      <c r="AB188" s="50">
        <v>246</v>
      </c>
      <c r="AC188" s="50">
        <v>3.5</v>
      </c>
      <c r="AD188" s="50"/>
      <c r="AE188" s="50" t="s">
        <v>439</v>
      </c>
      <c r="AF188" s="50"/>
      <c r="AG188" s="17"/>
      <c r="AH188" s="17"/>
      <c r="AI188" s="17"/>
      <c r="AJ188" s="17"/>
      <c r="AK188" s="17"/>
      <c r="AL188" s="17"/>
      <c r="AM188" s="17"/>
      <c r="AN188" s="17"/>
      <c r="AO188" s="17"/>
      <c r="AP188" s="17"/>
      <c r="AQ188" s="17"/>
      <c r="AR188" s="17"/>
      <c r="AS188" s="17"/>
      <c r="AT188" s="17"/>
      <c r="AU188" s="17"/>
      <c r="AV188" s="17"/>
      <c r="AW188" s="17"/>
      <c r="AX188" s="17"/>
      <c r="AY188" s="17"/>
    </row>
    <row r="189" spans="1:51" x14ac:dyDescent="0.2">
      <c r="A189" s="17"/>
      <c r="B189" s="17"/>
      <c r="C189" s="17"/>
      <c r="D189" s="17"/>
      <c r="E189" s="17"/>
      <c r="F189" s="17"/>
      <c r="G189" s="17"/>
      <c r="H189" s="17"/>
      <c r="I189" s="17"/>
      <c r="J189" s="17"/>
      <c r="K189" s="17"/>
      <c r="L189" s="17"/>
      <c r="M189" s="17"/>
      <c r="N189" s="17"/>
      <c r="O189" s="27" t="s">
        <v>449</v>
      </c>
      <c r="P189" s="50"/>
      <c r="Q189" s="50"/>
      <c r="R189" s="50">
        <v>29</v>
      </c>
      <c r="S189" s="50"/>
      <c r="T189" s="50">
        <v>12</v>
      </c>
      <c r="U189" s="50"/>
      <c r="V189" s="50"/>
      <c r="W189" s="50"/>
      <c r="X189" s="50"/>
      <c r="Y189" s="50"/>
      <c r="Z189" s="50"/>
      <c r="AA189" s="50">
        <v>152</v>
      </c>
      <c r="AB189" s="50">
        <v>228</v>
      </c>
      <c r="AC189" s="50">
        <v>3.7</v>
      </c>
      <c r="AD189" s="50"/>
      <c r="AE189" s="50" t="s">
        <v>439</v>
      </c>
      <c r="AF189" s="50"/>
      <c r="AG189" s="17"/>
      <c r="AH189" s="17"/>
      <c r="AI189" s="17"/>
      <c r="AJ189" s="17"/>
      <c r="AK189" s="17"/>
      <c r="AL189" s="17"/>
      <c r="AM189" s="17"/>
      <c r="AN189" s="17"/>
      <c r="AO189" s="17"/>
      <c r="AP189" s="17"/>
      <c r="AQ189" s="17"/>
      <c r="AR189" s="17"/>
      <c r="AS189" s="17"/>
      <c r="AT189" s="17"/>
      <c r="AU189" s="17"/>
      <c r="AV189" s="17"/>
      <c r="AW189" s="17"/>
      <c r="AX189" s="17"/>
      <c r="AY189" s="17"/>
    </row>
    <row r="190" spans="1:51" ht="12.75" customHeight="1" x14ac:dyDescent="0.2">
      <c r="A190" s="171" t="s">
        <v>21</v>
      </c>
      <c r="B190" s="171"/>
      <c r="C190" s="171"/>
      <c r="D190" s="171"/>
      <c r="E190" s="171"/>
      <c r="F190" s="171"/>
      <c r="G190" s="171"/>
      <c r="H190" s="171"/>
      <c r="I190" s="171"/>
      <c r="J190" s="171"/>
      <c r="K190" s="171"/>
      <c r="L190" s="171"/>
      <c r="M190" s="171"/>
      <c r="N190" s="17"/>
      <c r="O190" s="27" t="s">
        <v>1176</v>
      </c>
      <c r="P190" s="50"/>
      <c r="Q190" s="50"/>
      <c r="R190" s="50"/>
      <c r="S190" s="50">
        <v>22</v>
      </c>
      <c r="T190" s="50">
        <v>45</v>
      </c>
      <c r="U190" s="50"/>
      <c r="V190" s="50"/>
      <c r="W190" s="50"/>
      <c r="X190" s="50"/>
      <c r="Y190" s="50"/>
      <c r="Z190" s="50"/>
      <c r="AA190" s="50">
        <v>251</v>
      </c>
      <c r="AB190" s="50">
        <v>378</v>
      </c>
      <c r="AC190" s="50">
        <v>3.7</v>
      </c>
      <c r="AD190" s="50"/>
      <c r="AE190" s="50" t="s">
        <v>439</v>
      </c>
      <c r="AF190" s="50"/>
      <c r="AG190" s="17"/>
      <c r="AH190" s="17"/>
      <c r="AI190" s="17"/>
      <c r="AJ190" s="17"/>
      <c r="AK190" s="17"/>
      <c r="AL190" s="17"/>
      <c r="AM190" s="17"/>
      <c r="AN190" s="17"/>
      <c r="AO190" s="17"/>
      <c r="AP190" s="17"/>
      <c r="AQ190" s="17"/>
      <c r="AR190" s="17"/>
      <c r="AS190" s="17"/>
      <c r="AT190" s="17"/>
      <c r="AU190" s="17"/>
      <c r="AV190" s="17"/>
      <c r="AW190" s="17"/>
      <c r="AX190" s="17"/>
      <c r="AY190" s="17"/>
    </row>
    <row r="191" spans="1:51" ht="12.75" customHeight="1" x14ac:dyDescent="0.2">
      <c r="A191" s="172"/>
      <c r="B191" s="172"/>
      <c r="C191" s="172"/>
      <c r="D191" s="172"/>
      <c r="E191" s="172"/>
      <c r="F191" s="172"/>
      <c r="G191" s="172"/>
      <c r="H191" s="172"/>
      <c r="I191" s="172"/>
      <c r="J191" s="172"/>
      <c r="K191" s="172"/>
      <c r="L191" s="172"/>
      <c r="M191" s="172"/>
      <c r="N191" s="17"/>
      <c r="O191" s="29" t="s">
        <v>441</v>
      </c>
      <c r="P191" s="51"/>
      <c r="Q191" s="51">
        <v>2</v>
      </c>
      <c r="R191" s="51"/>
      <c r="S191" s="51">
        <v>20</v>
      </c>
      <c r="T191" s="51"/>
      <c r="U191" s="51"/>
      <c r="V191" s="51"/>
      <c r="W191" s="51"/>
      <c r="X191" s="51"/>
      <c r="Y191" s="51"/>
      <c r="Z191" s="51"/>
      <c r="AA191" s="51">
        <v>154</v>
      </c>
      <c r="AB191" s="51">
        <v>232</v>
      </c>
      <c r="AC191" s="51">
        <v>3.3</v>
      </c>
      <c r="AD191" s="51"/>
      <c r="AE191" s="51" t="s">
        <v>439</v>
      </c>
      <c r="AF191" s="51"/>
      <c r="AG191" s="17"/>
      <c r="AH191" s="17"/>
      <c r="AI191" s="17"/>
      <c r="AJ191" s="17"/>
      <c r="AK191" s="17"/>
      <c r="AL191" s="17"/>
      <c r="AM191" s="17"/>
      <c r="AN191" s="17"/>
      <c r="AO191" s="17"/>
      <c r="AP191" s="17"/>
      <c r="AQ191" s="17"/>
      <c r="AR191" s="17"/>
      <c r="AS191" s="17"/>
      <c r="AT191" s="17"/>
      <c r="AU191" s="17"/>
      <c r="AV191" s="17"/>
      <c r="AW191" s="17"/>
      <c r="AX191" s="17"/>
      <c r="AY191" s="17"/>
    </row>
    <row r="192" spans="1:51" x14ac:dyDescent="0.2">
      <c r="A192" s="22" t="s">
        <v>0</v>
      </c>
      <c r="B192" s="22" t="s">
        <v>1</v>
      </c>
      <c r="C192" s="22" t="s">
        <v>2</v>
      </c>
      <c r="D192" s="22" t="s">
        <v>3</v>
      </c>
      <c r="E192" s="22" t="s">
        <v>4</v>
      </c>
      <c r="F192" s="22" t="s">
        <v>5</v>
      </c>
      <c r="G192" s="22" t="s">
        <v>6</v>
      </c>
      <c r="H192" s="22" t="s">
        <v>140</v>
      </c>
      <c r="I192" s="22" t="s">
        <v>156</v>
      </c>
      <c r="J192" s="22" t="s">
        <v>157</v>
      </c>
      <c r="K192" s="22" t="s">
        <v>7</v>
      </c>
      <c r="L192" s="22" t="s">
        <v>122</v>
      </c>
      <c r="M192" s="22" t="s">
        <v>1049</v>
      </c>
      <c r="N192" s="17"/>
      <c r="O192" s="39" t="s">
        <v>1026</v>
      </c>
      <c r="P192" s="31"/>
      <c r="Q192" s="31"/>
      <c r="R192" s="31"/>
      <c r="S192" s="31"/>
      <c r="T192" s="31"/>
      <c r="U192" s="31"/>
      <c r="V192" s="31"/>
      <c r="W192" s="31"/>
      <c r="X192" s="31"/>
      <c r="Y192" s="31"/>
      <c r="Z192" s="31"/>
      <c r="AA192" s="31"/>
      <c r="AB192" s="31"/>
      <c r="AC192" s="31"/>
      <c r="AD192" s="31"/>
      <c r="AE192" s="31"/>
      <c r="AF192" s="31"/>
      <c r="AG192" s="17"/>
      <c r="AH192" s="17"/>
      <c r="AI192" s="17"/>
      <c r="AJ192" s="17"/>
      <c r="AK192" s="17"/>
      <c r="AL192" s="17"/>
      <c r="AM192" s="17"/>
      <c r="AN192" s="17"/>
      <c r="AO192" s="17"/>
      <c r="AP192" s="17"/>
      <c r="AQ192" s="17"/>
      <c r="AR192" s="17"/>
      <c r="AS192" s="17"/>
      <c r="AT192" s="17"/>
      <c r="AU192" s="17"/>
      <c r="AV192" s="17"/>
      <c r="AW192" s="17"/>
      <c r="AX192" s="17"/>
      <c r="AY192" s="17"/>
    </row>
    <row r="193" spans="1:51" x14ac:dyDescent="0.2">
      <c r="A193" s="21" t="s">
        <v>393</v>
      </c>
      <c r="B193" s="19"/>
      <c r="C193" s="19"/>
      <c r="D193" s="19"/>
      <c r="E193" s="19"/>
      <c r="F193" s="19"/>
      <c r="G193" s="19"/>
      <c r="H193" s="19"/>
      <c r="I193" s="19"/>
      <c r="J193" s="19"/>
      <c r="K193" s="19"/>
      <c r="L193" s="19"/>
      <c r="M193" s="19"/>
      <c r="N193" s="17"/>
      <c r="O193" s="33" t="s">
        <v>362</v>
      </c>
      <c r="P193" s="34"/>
      <c r="Q193" s="34"/>
      <c r="R193" s="34"/>
      <c r="S193" s="34"/>
      <c r="T193" s="34"/>
      <c r="U193" s="34"/>
      <c r="V193" s="34"/>
      <c r="W193" s="34"/>
      <c r="X193" s="34"/>
      <c r="Y193" s="34"/>
      <c r="Z193" s="34"/>
      <c r="AA193" s="34"/>
      <c r="AB193" s="34"/>
      <c r="AC193" s="34"/>
      <c r="AD193" s="34"/>
      <c r="AE193" s="34"/>
      <c r="AF193" s="34"/>
      <c r="AG193" s="17"/>
      <c r="AH193" s="17"/>
      <c r="AI193" s="17"/>
      <c r="AJ193" s="17"/>
      <c r="AK193" s="17"/>
      <c r="AL193" s="17"/>
      <c r="AM193" s="17"/>
      <c r="AN193" s="17"/>
      <c r="AO193" s="17"/>
      <c r="AP193" s="17"/>
      <c r="AQ193" s="17"/>
      <c r="AR193" s="17"/>
      <c r="AS193" s="17"/>
      <c r="AT193" s="17"/>
      <c r="AU193" s="17"/>
      <c r="AV193" s="17"/>
      <c r="AW193" s="17"/>
      <c r="AX193" s="17"/>
      <c r="AY193" s="17"/>
    </row>
    <row r="194" spans="1:51" x14ac:dyDescent="0.2">
      <c r="A194" s="21" t="s">
        <v>1050</v>
      </c>
      <c r="B194" s="19"/>
      <c r="C194" s="19"/>
      <c r="D194" s="19"/>
      <c r="E194" s="19"/>
      <c r="F194" s="19"/>
      <c r="G194" s="19"/>
      <c r="H194" s="19"/>
      <c r="I194" s="19"/>
      <c r="J194" s="19"/>
      <c r="K194" s="19"/>
      <c r="L194" s="19"/>
      <c r="M194" s="19"/>
      <c r="N194" s="17"/>
      <c r="O194" s="36" t="s">
        <v>1026</v>
      </c>
      <c r="P194" s="37"/>
      <c r="Q194" s="37"/>
      <c r="R194" s="37"/>
      <c r="S194" s="37"/>
      <c r="T194" s="37"/>
      <c r="U194" s="37"/>
      <c r="V194" s="37"/>
      <c r="W194" s="37"/>
      <c r="X194" s="37"/>
      <c r="Y194" s="37"/>
      <c r="Z194" s="37"/>
      <c r="AA194" s="37"/>
      <c r="AB194" s="37"/>
      <c r="AC194" s="37"/>
      <c r="AD194" s="37"/>
      <c r="AE194" s="37"/>
      <c r="AF194" s="37"/>
      <c r="AG194" s="17"/>
      <c r="AH194" s="17"/>
      <c r="AI194" s="17"/>
      <c r="AJ194" s="17"/>
      <c r="AK194" s="17"/>
      <c r="AL194" s="17"/>
      <c r="AM194" s="17"/>
      <c r="AN194" s="17"/>
      <c r="AO194" s="17"/>
      <c r="AP194" s="17"/>
      <c r="AQ194" s="17"/>
      <c r="AR194" s="17"/>
      <c r="AS194" s="17"/>
      <c r="AT194" s="17"/>
      <c r="AU194" s="17"/>
      <c r="AV194" s="17"/>
      <c r="AW194" s="17"/>
      <c r="AX194" s="17"/>
      <c r="AY194" s="17"/>
    </row>
    <row r="195" spans="1:51" x14ac:dyDescent="0.2">
      <c r="A195" s="21" t="s">
        <v>772</v>
      </c>
      <c r="B195" s="20">
        <v>1</v>
      </c>
      <c r="C195" s="20"/>
      <c r="D195" s="20">
        <v>17</v>
      </c>
      <c r="E195" s="20">
        <v>10</v>
      </c>
      <c r="F195" s="20"/>
      <c r="G195" s="20"/>
      <c r="H195" s="20"/>
      <c r="I195" s="20"/>
      <c r="J195" s="20"/>
      <c r="K195" s="20">
        <v>369</v>
      </c>
      <c r="L195" s="20"/>
      <c r="M195" s="20"/>
      <c r="N195" s="17"/>
      <c r="O195" s="28" t="s">
        <v>452</v>
      </c>
      <c r="P195" s="52"/>
      <c r="Q195" s="52"/>
      <c r="R195" s="52"/>
      <c r="S195" s="52">
        <v>33</v>
      </c>
      <c r="T195" s="52"/>
      <c r="U195" s="52">
        <v>86</v>
      </c>
      <c r="V195" s="52"/>
      <c r="W195" s="52"/>
      <c r="X195" s="52"/>
      <c r="Y195" s="52"/>
      <c r="Z195" s="52"/>
      <c r="AA195" s="52">
        <v>229</v>
      </c>
      <c r="AB195" s="52">
        <v>344</v>
      </c>
      <c r="AC195" s="52">
        <v>3.5</v>
      </c>
      <c r="AD195" s="52"/>
      <c r="AE195" s="52" t="s">
        <v>571</v>
      </c>
      <c r="AF195" s="52"/>
      <c r="AG195" s="17"/>
      <c r="AH195" s="17"/>
      <c r="AI195" s="17"/>
      <c r="AJ195" s="17"/>
      <c r="AK195" s="17"/>
      <c r="AL195" s="17"/>
      <c r="AM195" s="17"/>
      <c r="AN195" s="17"/>
      <c r="AO195" s="17"/>
      <c r="AP195" s="17"/>
      <c r="AQ195" s="17"/>
      <c r="AR195" s="17"/>
      <c r="AS195" s="17"/>
      <c r="AT195" s="17"/>
      <c r="AU195" s="17"/>
      <c r="AV195" s="17"/>
      <c r="AW195" s="17"/>
      <c r="AX195" s="17"/>
      <c r="AY195" s="17"/>
    </row>
    <row r="196" spans="1:51" x14ac:dyDescent="0.2">
      <c r="A196" s="21" t="s">
        <v>238</v>
      </c>
      <c r="B196" s="20"/>
      <c r="C196" s="20"/>
      <c r="D196" s="20">
        <v>15</v>
      </c>
      <c r="E196" s="20">
        <v>12</v>
      </c>
      <c r="F196" s="20">
        <v>9</v>
      </c>
      <c r="G196" s="20"/>
      <c r="H196" s="20"/>
      <c r="I196" s="20"/>
      <c r="J196" s="20">
        <v>7</v>
      </c>
      <c r="K196" s="20">
        <v>380</v>
      </c>
      <c r="L196" s="20"/>
      <c r="M196" s="20"/>
      <c r="N196" s="17"/>
      <c r="O196" s="27" t="s">
        <v>464</v>
      </c>
      <c r="P196" s="50">
        <v>1</v>
      </c>
      <c r="Q196" s="50"/>
      <c r="R196" s="50"/>
      <c r="S196" s="50"/>
      <c r="T196" s="50"/>
      <c r="U196" s="50">
        <v>60</v>
      </c>
      <c r="V196" s="50"/>
      <c r="W196" s="50"/>
      <c r="X196" s="50"/>
      <c r="Y196" s="50"/>
      <c r="Z196" s="50"/>
      <c r="AA196" s="50">
        <v>138</v>
      </c>
      <c r="AB196" s="50">
        <v>207</v>
      </c>
      <c r="AC196" s="50">
        <v>3.2</v>
      </c>
      <c r="AD196" s="50"/>
      <c r="AE196" s="50" t="s">
        <v>571</v>
      </c>
      <c r="AF196" s="50"/>
      <c r="AG196" s="17"/>
      <c r="AH196" s="17"/>
      <c r="AI196" s="17"/>
      <c r="AJ196" s="17"/>
      <c r="AK196" s="17"/>
      <c r="AL196" s="17"/>
      <c r="AM196" s="17"/>
      <c r="AN196" s="17"/>
      <c r="AO196" s="17"/>
      <c r="AP196" s="17"/>
      <c r="AQ196" s="17"/>
      <c r="AR196" s="17"/>
      <c r="AS196" s="17"/>
      <c r="AT196" s="17"/>
      <c r="AU196" s="17"/>
      <c r="AV196" s="17"/>
      <c r="AW196" s="17"/>
      <c r="AX196" s="17"/>
      <c r="AY196" s="17"/>
    </row>
    <row r="197" spans="1:51" x14ac:dyDescent="0.2">
      <c r="A197" s="21" t="s">
        <v>771</v>
      </c>
      <c r="B197" s="20"/>
      <c r="C197" s="20"/>
      <c r="D197" s="20">
        <f>IF(Patch&lt;5,17,21)</f>
        <v>21</v>
      </c>
      <c r="E197" s="20">
        <v>15</v>
      </c>
      <c r="F197" s="20">
        <f>IF(Patch&lt;5,5,0)</f>
        <v>0</v>
      </c>
      <c r="G197" s="20"/>
      <c r="H197" s="20">
        <v>1</v>
      </c>
      <c r="I197" s="20"/>
      <c r="J197" s="20">
        <f>IF(Patch&lt;5,0,IF(Patch&lt;7,8,5))</f>
        <v>5</v>
      </c>
      <c r="K197" s="20">
        <v>412</v>
      </c>
      <c r="L197" s="20"/>
      <c r="M197" s="20"/>
      <c r="N197" s="17"/>
      <c r="O197" s="27" t="s">
        <v>462</v>
      </c>
      <c r="P197" s="50"/>
      <c r="Q197" s="50"/>
      <c r="R197" s="50"/>
      <c r="S197" s="50"/>
      <c r="T197" s="50"/>
      <c r="U197" s="50"/>
      <c r="V197" s="50"/>
      <c r="W197" s="50"/>
      <c r="X197" s="50"/>
      <c r="Y197" s="50"/>
      <c r="Z197" s="50"/>
      <c r="AA197" s="50">
        <f>IF(Patch&lt;10,109,166)</f>
        <v>166</v>
      </c>
      <c r="AB197" s="50">
        <f>IF(Patch&lt;10,164,250)</f>
        <v>250</v>
      </c>
      <c r="AC197" s="50">
        <v>3.5</v>
      </c>
      <c r="AD197" s="50"/>
      <c r="AE197" s="50" t="s">
        <v>571</v>
      </c>
      <c r="AF197" s="50"/>
      <c r="AG197" s="17"/>
      <c r="AH197" s="17"/>
      <c r="AI197" s="17"/>
      <c r="AJ197" s="17"/>
      <c r="AK197" s="17"/>
      <c r="AL197" s="17"/>
      <c r="AM197" s="17"/>
      <c r="AN197" s="17"/>
      <c r="AO197" s="17"/>
      <c r="AP197" s="17"/>
      <c r="AQ197" s="17"/>
      <c r="AR197" s="17"/>
      <c r="AS197" s="17"/>
      <c r="AT197" s="17"/>
      <c r="AU197" s="17"/>
      <c r="AV197" s="17"/>
      <c r="AW197" s="17"/>
      <c r="AX197" s="17"/>
      <c r="AY197" s="17"/>
    </row>
    <row r="198" spans="1:51" x14ac:dyDescent="0.2">
      <c r="A198" s="21" t="s">
        <v>241</v>
      </c>
      <c r="B198" s="20">
        <v>1</v>
      </c>
      <c r="C198" s="20">
        <v>1</v>
      </c>
      <c r="D198" s="20"/>
      <c r="E198" s="20">
        <v>20</v>
      </c>
      <c r="F198" s="20"/>
      <c r="G198" s="20">
        <v>64</v>
      </c>
      <c r="H198" s="20"/>
      <c r="I198" s="20"/>
      <c r="J198" s="20"/>
      <c r="K198" s="20">
        <v>142</v>
      </c>
      <c r="L198" s="20"/>
      <c r="M198" s="20"/>
      <c r="N198" s="17"/>
      <c r="O198" s="27" t="s">
        <v>460</v>
      </c>
      <c r="P198" s="50"/>
      <c r="Q198" s="50"/>
      <c r="R198" s="50">
        <v>11</v>
      </c>
      <c r="S198" s="50">
        <v>11</v>
      </c>
      <c r="T198" s="50">
        <v>11</v>
      </c>
      <c r="U198" s="50"/>
      <c r="V198" s="50"/>
      <c r="W198" s="50"/>
      <c r="X198" s="50"/>
      <c r="Y198" s="50"/>
      <c r="Z198" s="50"/>
      <c r="AA198" s="50">
        <v>101</v>
      </c>
      <c r="AB198" s="50">
        <v>152</v>
      </c>
      <c r="AC198" s="50">
        <v>2.1</v>
      </c>
      <c r="AD198" s="50"/>
      <c r="AE198" s="50" t="s">
        <v>571</v>
      </c>
      <c r="AF198" s="50"/>
      <c r="AG198" s="17"/>
      <c r="AH198" s="17"/>
      <c r="AI198" s="17"/>
      <c r="AJ198" s="17"/>
      <c r="AK198" s="17"/>
      <c r="AL198" s="17"/>
      <c r="AM198" s="17"/>
      <c r="AN198" s="17"/>
      <c r="AO198" s="17"/>
      <c r="AP198" s="17"/>
      <c r="AQ198" s="17"/>
      <c r="AR198" s="17"/>
      <c r="AS198" s="17"/>
      <c r="AT198" s="17"/>
      <c r="AU198" s="17"/>
      <c r="AV198" s="17"/>
      <c r="AW198" s="17"/>
      <c r="AX198" s="17"/>
      <c r="AY198" s="17"/>
    </row>
    <row r="199" spans="1:51" x14ac:dyDescent="0.2">
      <c r="A199" s="21" t="s">
        <v>1216</v>
      </c>
      <c r="B199" s="20"/>
      <c r="C199" s="20">
        <v>1</v>
      </c>
      <c r="D199" s="20">
        <v>14</v>
      </c>
      <c r="E199" s="20">
        <v>11</v>
      </c>
      <c r="F199" s="20">
        <v>15</v>
      </c>
      <c r="G199" s="20"/>
      <c r="H199" s="20"/>
      <c r="I199" s="20"/>
      <c r="J199" s="20"/>
      <c r="K199" s="20">
        <v>108</v>
      </c>
      <c r="L199" s="20"/>
      <c r="M199" s="20"/>
      <c r="N199" s="17"/>
      <c r="O199" s="27" t="s">
        <v>454</v>
      </c>
      <c r="P199" s="50">
        <v>1</v>
      </c>
      <c r="Q199" s="50"/>
      <c r="R199" s="50"/>
      <c r="S199" s="50">
        <f>IF(Patch&lt;10,0,16)</f>
        <v>16</v>
      </c>
      <c r="T199" s="50"/>
      <c r="U199" s="50"/>
      <c r="V199" s="50"/>
      <c r="W199" s="50"/>
      <c r="X199" s="50"/>
      <c r="Y199" s="50"/>
      <c r="Z199" s="50"/>
      <c r="AA199" s="50">
        <v>206</v>
      </c>
      <c r="AB199" s="50">
        <v>310</v>
      </c>
      <c r="AC199" s="50">
        <v>3.4</v>
      </c>
      <c r="AD199" s="50"/>
      <c r="AE199" s="50" t="s">
        <v>571</v>
      </c>
      <c r="AF199" s="50"/>
      <c r="AG199" s="17"/>
      <c r="AH199" s="17"/>
      <c r="AI199" s="17"/>
      <c r="AJ199" s="17"/>
      <c r="AK199" s="17"/>
      <c r="AL199" s="17"/>
      <c r="AM199" s="17"/>
      <c r="AN199" s="17"/>
      <c r="AO199" s="17"/>
      <c r="AP199" s="17"/>
      <c r="AQ199" s="17"/>
      <c r="AR199" s="17"/>
      <c r="AS199" s="17"/>
      <c r="AT199" s="17"/>
      <c r="AU199" s="17"/>
      <c r="AV199" s="17"/>
      <c r="AW199" s="17"/>
      <c r="AX199" s="17"/>
      <c r="AY199" s="17"/>
    </row>
    <row r="200" spans="1:51" x14ac:dyDescent="0.2">
      <c r="A200" s="21" t="s">
        <v>236</v>
      </c>
      <c r="B200" s="20"/>
      <c r="C200" s="20"/>
      <c r="D200" s="20">
        <v>23</v>
      </c>
      <c r="E200" s="20">
        <v>11</v>
      </c>
      <c r="F200" s="20">
        <v>7</v>
      </c>
      <c r="G200" s="20"/>
      <c r="H200" s="20"/>
      <c r="I200" s="20"/>
      <c r="J200" s="20"/>
      <c r="K200" s="20">
        <v>408</v>
      </c>
      <c r="L200" s="20"/>
      <c r="M200" s="20"/>
      <c r="N200" s="17"/>
      <c r="O200" s="27" t="s">
        <v>1177</v>
      </c>
      <c r="P200" s="50"/>
      <c r="Q200" s="50"/>
      <c r="R200" s="50"/>
      <c r="S200" s="50">
        <v>20</v>
      </c>
      <c r="T200" s="50"/>
      <c r="U200" s="50">
        <v>98</v>
      </c>
      <c r="V200" s="50"/>
      <c r="W200" s="50"/>
      <c r="X200" s="50"/>
      <c r="Y200" s="50"/>
      <c r="Z200" s="50"/>
      <c r="AA200" s="50">
        <v>235</v>
      </c>
      <c r="AB200" s="50">
        <v>354</v>
      </c>
      <c r="AC200" s="50">
        <v>3.6</v>
      </c>
      <c r="AD200" s="50"/>
      <c r="AE200" s="50" t="s">
        <v>571</v>
      </c>
      <c r="AF200" s="50"/>
      <c r="AG200" s="17"/>
      <c r="AH200" s="17"/>
      <c r="AI200" s="17"/>
      <c r="AJ200" s="17"/>
      <c r="AK200" s="17"/>
      <c r="AL200" s="17"/>
      <c r="AM200" s="17"/>
      <c r="AN200" s="17"/>
      <c r="AO200" s="17"/>
      <c r="AP200" s="17"/>
      <c r="AQ200" s="17"/>
      <c r="AR200" s="17"/>
      <c r="AS200" s="17"/>
      <c r="AT200" s="17"/>
      <c r="AU200" s="17"/>
      <c r="AV200" s="17"/>
      <c r="AW200" s="17"/>
      <c r="AX200" s="17"/>
      <c r="AY200" s="17"/>
    </row>
    <row r="201" spans="1:51" x14ac:dyDescent="0.2">
      <c r="A201" s="21" t="s">
        <v>235</v>
      </c>
      <c r="B201" s="20"/>
      <c r="C201" s="20"/>
      <c r="D201" s="20">
        <v>17</v>
      </c>
      <c r="E201" s="20">
        <v>18</v>
      </c>
      <c r="F201" s="20"/>
      <c r="G201" s="20"/>
      <c r="H201" s="20"/>
      <c r="I201" s="20"/>
      <c r="J201" s="20">
        <v>5</v>
      </c>
      <c r="K201" s="20">
        <v>494</v>
      </c>
      <c r="L201" s="20"/>
      <c r="M201" s="20"/>
      <c r="N201" s="17"/>
      <c r="O201" s="27" t="s">
        <v>1178</v>
      </c>
      <c r="P201" s="50">
        <v>2</v>
      </c>
      <c r="Q201" s="50">
        <v>1</v>
      </c>
      <c r="R201" s="50"/>
      <c r="S201" s="50">
        <v>-25</v>
      </c>
      <c r="T201" s="50"/>
      <c r="U201" s="50"/>
      <c r="V201" s="50"/>
      <c r="W201" s="50"/>
      <c r="X201" s="50"/>
      <c r="Y201" s="50"/>
      <c r="Z201" s="50"/>
      <c r="AA201" s="50">
        <v>259</v>
      </c>
      <c r="AB201" s="50">
        <v>389</v>
      </c>
      <c r="AC201" s="50">
        <v>3.6</v>
      </c>
      <c r="AD201" s="50">
        <f ca="1">200*0.8*VLOOKUP(O201,ProcChance,4,FALSE)*(WhiteMHConnects+YellowConnects+WindfuryConnects+HoJConnects)</f>
        <v>11.600130367931543</v>
      </c>
      <c r="AE201" s="50" t="s">
        <v>571</v>
      </c>
      <c r="AF201" s="50">
        <f ca="1">200*0.8*VLOOKUP(O201,ProcChance,4,FALSE)*(WhiteMHConnects20+YellowConnects20+WindfuryConnects20+HoJConnects20)</f>
        <v>15.121338376115565</v>
      </c>
      <c r="AG201" s="17"/>
      <c r="AH201" s="17"/>
      <c r="AI201" s="17"/>
      <c r="AJ201" s="17"/>
      <c r="AK201" s="17"/>
      <c r="AL201" s="17"/>
      <c r="AM201" s="17"/>
      <c r="AN201" s="17"/>
      <c r="AO201" s="17"/>
      <c r="AP201" s="17"/>
      <c r="AQ201" s="17"/>
      <c r="AR201" s="17"/>
      <c r="AS201" s="17"/>
      <c r="AT201" s="17"/>
      <c r="AU201" s="17"/>
      <c r="AV201" s="17"/>
      <c r="AW201" s="17"/>
      <c r="AX201" s="17"/>
      <c r="AY201" s="17"/>
    </row>
    <row r="202" spans="1:51" x14ac:dyDescent="0.2">
      <c r="A202" s="21" t="s">
        <v>801</v>
      </c>
      <c r="B202" s="20"/>
      <c r="C202" s="20"/>
      <c r="D202" s="20">
        <v>14</v>
      </c>
      <c r="E202" s="20">
        <v>8</v>
      </c>
      <c r="F202" s="20">
        <v>7</v>
      </c>
      <c r="G202" s="20"/>
      <c r="H202" s="20"/>
      <c r="I202" s="20"/>
      <c r="J202" s="20"/>
      <c r="K202" s="20">
        <v>341</v>
      </c>
      <c r="L202" s="20"/>
      <c r="M202" s="20"/>
      <c r="N202" s="17"/>
      <c r="O202" s="27" t="s">
        <v>466</v>
      </c>
      <c r="P202" s="50"/>
      <c r="Q202" s="50"/>
      <c r="R202" s="50"/>
      <c r="S202" s="50">
        <v>17</v>
      </c>
      <c r="T202" s="50"/>
      <c r="U202" s="50">
        <v>54</v>
      </c>
      <c r="V202" s="50"/>
      <c r="W202" s="50"/>
      <c r="X202" s="50"/>
      <c r="Y202" s="50"/>
      <c r="Z202" s="50"/>
      <c r="AA202" s="50">
        <v>152</v>
      </c>
      <c r="AB202" s="50">
        <v>229</v>
      </c>
      <c r="AC202" s="50">
        <v>3.6</v>
      </c>
      <c r="AD202" s="50"/>
      <c r="AE202" s="50" t="s">
        <v>571</v>
      </c>
      <c r="AF202" s="50"/>
      <c r="AG202" s="17"/>
      <c r="AH202" s="17"/>
      <c r="AI202" s="17"/>
      <c r="AJ202" s="17"/>
      <c r="AK202" s="17"/>
      <c r="AL202" s="17"/>
      <c r="AM202" s="17"/>
      <c r="AN202" s="17"/>
      <c r="AO202" s="17"/>
      <c r="AP202" s="17"/>
      <c r="AQ202" s="17"/>
      <c r="AR202" s="17"/>
      <c r="AS202" s="17"/>
      <c r="AT202" s="17"/>
      <c r="AU202" s="17"/>
      <c r="AV202" s="17"/>
      <c r="AW202" s="17"/>
      <c r="AX202" s="17"/>
      <c r="AY202" s="17"/>
    </row>
    <row r="203" spans="1:51" x14ac:dyDescent="0.2">
      <c r="A203" s="21" t="s">
        <v>239</v>
      </c>
      <c r="B203" s="20"/>
      <c r="C203" s="20">
        <f>IF(Patch&lt;10,0,1)</f>
        <v>1</v>
      </c>
      <c r="D203" s="20">
        <v>15</v>
      </c>
      <c r="E203" s="20">
        <v>16</v>
      </c>
      <c r="F203" s="20"/>
      <c r="G203" s="20"/>
      <c r="H203" s="20"/>
      <c r="I203" s="20"/>
      <c r="J203" s="20"/>
      <c r="K203" s="20">
        <v>369</v>
      </c>
      <c r="L203" s="20"/>
      <c r="M203" s="20"/>
      <c r="N203" s="17"/>
      <c r="O203" s="27" t="s">
        <v>467</v>
      </c>
      <c r="P203" s="50"/>
      <c r="Q203" s="50"/>
      <c r="R203" s="50">
        <f ca="1">200*(1-2.71828^(-(WhiteMHConnects+YellowConnects+HoJConnects+SSConnects+WindfuryConnects)*10*VLOOKUP(O203,ProcChance,4,FALSE)))</f>
        <v>76.65578703162555</v>
      </c>
      <c r="S203" s="50"/>
      <c r="T203" s="50"/>
      <c r="U203" s="50"/>
      <c r="V203" s="50"/>
      <c r="W203" s="50"/>
      <c r="X203" s="50"/>
      <c r="Y203" s="50"/>
      <c r="Z203" s="50"/>
      <c r="AA203" s="50">
        <v>112</v>
      </c>
      <c r="AB203" s="50">
        <v>168</v>
      </c>
      <c r="AC203" s="50">
        <v>2.6</v>
      </c>
      <c r="AD203" s="50"/>
      <c r="AE203" s="50" t="s">
        <v>571</v>
      </c>
      <c r="AF203" s="50"/>
      <c r="AG203" s="17"/>
      <c r="AH203" s="17"/>
      <c r="AI203" s="17"/>
      <c r="AJ203" s="17"/>
      <c r="AK203" s="17"/>
      <c r="AL203" s="17"/>
      <c r="AM203" s="17"/>
      <c r="AN203" s="17"/>
      <c r="AO203" s="17"/>
      <c r="AP203" s="17"/>
      <c r="AQ203" s="17"/>
      <c r="AR203" s="17"/>
      <c r="AS203" s="17"/>
      <c r="AT203" s="17"/>
      <c r="AU203" s="17"/>
      <c r="AV203" s="17"/>
      <c r="AW203" s="17"/>
      <c r="AX203" s="17"/>
      <c r="AY203" s="17"/>
    </row>
    <row r="204" spans="1:51" x14ac:dyDescent="0.2">
      <c r="A204" s="21" t="s">
        <v>399</v>
      </c>
      <c r="B204" s="20">
        <v>1</v>
      </c>
      <c r="C204" s="20">
        <v>1</v>
      </c>
      <c r="D204" s="20">
        <v>21</v>
      </c>
      <c r="E204" s="20">
        <v>21</v>
      </c>
      <c r="F204" s="20">
        <v>20</v>
      </c>
      <c r="G204" s="20"/>
      <c r="H204" s="20"/>
      <c r="I204" s="20"/>
      <c r="J204" s="20"/>
      <c r="K204" s="20">
        <v>536</v>
      </c>
      <c r="L204" s="20"/>
      <c r="M204" s="20"/>
      <c r="N204" s="17"/>
      <c r="O204" s="27" t="s">
        <v>790</v>
      </c>
      <c r="P204" s="50">
        <v>1</v>
      </c>
      <c r="Q204" s="50"/>
      <c r="R204" s="50">
        <f>IF(Patch&lt;6,20,26)</f>
        <v>26</v>
      </c>
      <c r="S204" s="50">
        <f>IF(Patch&lt;6,36,41)</f>
        <v>41</v>
      </c>
      <c r="T204" s="50"/>
      <c r="U204" s="50"/>
      <c r="V204" s="50"/>
      <c r="W204" s="50"/>
      <c r="X204" s="50"/>
      <c r="Y204" s="50"/>
      <c r="Z204" s="50"/>
      <c r="AA204" s="50">
        <f>IF(Patch&lt;6,196,235)</f>
        <v>235</v>
      </c>
      <c r="AB204" s="50">
        <f>IF(Patch&lt;6,295,353)</f>
        <v>353</v>
      </c>
      <c r="AC204" s="50">
        <v>3.8</v>
      </c>
      <c r="AD204" s="50"/>
      <c r="AE204" s="50" t="s">
        <v>571</v>
      </c>
      <c r="AF204" s="50"/>
      <c r="AG204" s="17"/>
      <c r="AH204" s="17"/>
      <c r="AI204" s="17"/>
      <c r="AJ204" s="17"/>
      <c r="AK204" s="17"/>
      <c r="AL204" s="17"/>
      <c r="AM204" s="17"/>
      <c r="AN204" s="17"/>
      <c r="AO204" s="17"/>
      <c r="AP204" s="17"/>
      <c r="AQ204" s="17"/>
      <c r="AR204" s="17"/>
      <c r="AS204" s="17"/>
      <c r="AT204" s="17"/>
      <c r="AU204" s="17"/>
      <c r="AV204" s="17"/>
      <c r="AW204" s="17"/>
      <c r="AX204" s="17"/>
      <c r="AY204" s="17"/>
    </row>
    <row r="205" spans="1:51" x14ac:dyDescent="0.2">
      <c r="A205" s="21" t="s">
        <v>959</v>
      </c>
      <c r="B205" s="20">
        <v>1</v>
      </c>
      <c r="C205" s="20"/>
      <c r="D205" s="20"/>
      <c r="E205" s="20">
        <v>16</v>
      </c>
      <c r="F205" s="20"/>
      <c r="G205" s="20"/>
      <c r="H205" s="20"/>
      <c r="I205" s="20"/>
      <c r="J205" s="20"/>
      <c r="K205" s="20">
        <v>98</v>
      </c>
      <c r="L205" s="20">
        <v>5</v>
      </c>
      <c r="M205" s="20" t="s">
        <v>558</v>
      </c>
      <c r="N205" s="17"/>
      <c r="O205" s="27" t="s">
        <v>453</v>
      </c>
      <c r="P205" s="50"/>
      <c r="Q205" s="50"/>
      <c r="R205" s="50">
        <v>24</v>
      </c>
      <c r="S205" s="50">
        <v>18</v>
      </c>
      <c r="T205" s="50"/>
      <c r="U205" s="50"/>
      <c r="V205" s="50"/>
      <c r="W205" s="50"/>
      <c r="X205" s="50"/>
      <c r="Y205" s="50"/>
      <c r="Z205" s="50"/>
      <c r="AA205" s="50">
        <v>209</v>
      </c>
      <c r="AB205" s="50">
        <v>315</v>
      </c>
      <c r="AC205" s="50">
        <v>3.2</v>
      </c>
      <c r="AD205" s="50">
        <f ca="1">258*0.8*VLOOKUP(O205,ProcChance,4,FALSE)*(WhiteMHConnects+YellowConnects+WindfuryConnects+HoJConnects)*IF(Spell_Crit&gt;0,1+1.5*Spell_Crit/100,1)</f>
        <v>18.019075396060206</v>
      </c>
      <c r="AE205" s="50" t="s">
        <v>571</v>
      </c>
      <c r="AF205" s="50">
        <f ca="1">258*0.8*VLOOKUP(O205,ProcChance,4,FALSE)*(WhiteMHConnects20+YellowConnects20+WindfuryConnects20+HoJConnects20+SSConnects)*IF(Spell_Crit&gt;0,1+1.5*Spell_Crit/100,1)</f>
        <v>23.488747768026201</v>
      </c>
      <c r="AG205" s="17"/>
      <c r="AH205" s="17"/>
      <c r="AI205" s="17"/>
      <c r="AJ205" s="17"/>
      <c r="AK205" s="17"/>
      <c r="AL205" s="17"/>
      <c r="AM205" s="17"/>
      <c r="AN205" s="17"/>
      <c r="AO205" s="17"/>
      <c r="AP205" s="17"/>
      <c r="AQ205" s="17"/>
      <c r="AR205" s="17"/>
      <c r="AS205" s="17"/>
      <c r="AT205" s="17"/>
      <c r="AU205" s="17"/>
      <c r="AV205" s="17"/>
      <c r="AW205" s="17"/>
      <c r="AX205" s="17"/>
      <c r="AY205" s="17"/>
    </row>
    <row r="206" spans="1:51" x14ac:dyDescent="0.2">
      <c r="A206" s="21" t="s">
        <v>240</v>
      </c>
      <c r="B206" s="20">
        <v>1</v>
      </c>
      <c r="C206" s="20"/>
      <c r="D206" s="20">
        <v>15</v>
      </c>
      <c r="E206" s="20">
        <v>9</v>
      </c>
      <c r="F206" s="20"/>
      <c r="G206" s="20"/>
      <c r="H206" s="20"/>
      <c r="I206" s="20"/>
      <c r="J206" s="20"/>
      <c r="K206" s="20">
        <v>353</v>
      </c>
      <c r="L206" s="20"/>
      <c r="M206" s="20"/>
      <c r="N206" s="17"/>
      <c r="O206" s="27" t="s">
        <v>459</v>
      </c>
      <c r="P206" s="50"/>
      <c r="Q206" s="50"/>
      <c r="R206" s="50">
        <v>35</v>
      </c>
      <c r="S206" s="50">
        <v>20</v>
      </c>
      <c r="T206" s="50">
        <v>15</v>
      </c>
      <c r="U206" s="50"/>
      <c r="V206" s="50"/>
      <c r="W206" s="50"/>
      <c r="X206" s="50"/>
      <c r="Y206" s="50"/>
      <c r="Z206" s="50"/>
      <c r="AA206" s="50">
        <v>180</v>
      </c>
      <c r="AB206" s="50">
        <v>270</v>
      </c>
      <c r="AC206" s="50">
        <v>3.6</v>
      </c>
      <c r="AD206" s="50"/>
      <c r="AE206" s="50" t="s">
        <v>571</v>
      </c>
      <c r="AF206" s="50"/>
      <c r="AG206" s="17"/>
      <c r="AH206" s="17"/>
      <c r="AI206" s="17"/>
      <c r="AJ206" s="17"/>
      <c r="AK206" s="17"/>
      <c r="AL206" s="17"/>
      <c r="AM206" s="17"/>
      <c r="AN206" s="17"/>
      <c r="AO206" s="17"/>
      <c r="AP206" s="17"/>
      <c r="AQ206" s="17"/>
      <c r="AR206" s="17"/>
      <c r="AS206" s="17"/>
      <c r="AT206" s="17"/>
      <c r="AU206" s="17"/>
      <c r="AV206" s="17"/>
      <c r="AW206" s="17"/>
      <c r="AX206" s="17"/>
      <c r="AY206" s="17"/>
    </row>
    <row r="207" spans="1:51" x14ac:dyDescent="0.2">
      <c r="A207" s="21" t="s">
        <v>22</v>
      </c>
      <c r="B207" s="20">
        <v>1</v>
      </c>
      <c r="C207" s="20">
        <v>1</v>
      </c>
      <c r="D207" s="20">
        <v>31</v>
      </c>
      <c r="E207" s="20">
        <v>11</v>
      </c>
      <c r="F207" s="20"/>
      <c r="G207" s="20"/>
      <c r="H207" s="20"/>
      <c r="I207" s="20"/>
      <c r="J207" s="20"/>
      <c r="K207" s="20">
        <v>494</v>
      </c>
      <c r="L207" s="20"/>
      <c r="M207" s="20"/>
      <c r="N207" s="17"/>
      <c r="O207" s="27" t="s">
        <v>457</v>
      </c>
      <c r="P207" s="50"/>
      <c r="Q207" s="50"/>
      <c r="R207" s="50">
        <v>42</v>
      </c>
      <c r="S207" s="50"/>
      <c r="T207" s="50"/>
      <c r="U207" s="50"/>
      <c r="V207" s="50"/>
      <c r="W207" s="50"/>
      <c r="X207" s="50"/>
      <c r="Y207" s="50"/>
      <c r="Z207" s="50">
        <v>8</v>
      </c>
      <c r="AA207" s="50">
        <v>176</v>
      </c>
      <c r="AB207" s="50">
        <v>264</v>
      </c>
      <c r="AC207" s="50">
        <v>3.4</v>
      </c>
      <c r="AD207" s="50"/>
      <c r="AE207" s="50" t="s">
        <v>571</v>
      </c>
      <c r="AF207" s="50"/>
      <c r="AG207" s="17"/>
      <c r="AH207" s="17"/>
      <c r="AI207" s="17"/>
      <c r="AJ207" s="17"/>
      <c r="AK207" s="17"/>
      <c r="AL207" s="17"/>
      <c r="AM207" s="17"/>
      <c r="AN207" s="17"/>
      <c r="AO207" s="17"/>
      <c r="AP207" s="17"/>
      <c r="AQ207" s="17"/>
      <c r="AR207" s="17"/>
      <c r="AS207" s="17"/>
      <c r="AT207" s="17"/>
      <c r="AU207" s="17"/>
      <c r="AV207" s="17"/>
      <c r="AW207" s="17"/>
      <c r="AX207" s="17"/>
      <c r="AY207" s="17"/>
    </row>
    <row r="208" spans="1:51" x14ac:dyDescent="0.2">
      <c r="A208" s="21" t="s">
        <v>242</v>
      </c>
      <c r="B208" s="20">
        <v>1</v>
      </c>
      <c r="C208" s="20">
        <v>1</v>
      </c>
      <c r="D208" s="20"/>
      <c r="E208" s="20">
        <v>19</v>
      </c>
      <c r="F208" s="20">
        <v>20</v>
      </c>
      <c r="G208" s="20"/>
      <c r="H208" s="20"/>
      <c r="I208" s="20"/>
      <c r="J208" s="20"/>
      <c r="K208" s="20">
        <v>258</v>
      </c>
      <c r="L208" s="20"/>
      <c r="M208" s="20"/>
      <c r="N208" s="17"/>
      <c r="O208" s="27" t="s">
        <v>465</v>
      </c>
      <c r="P208" s="50"/>
      <c r="Q208" s="50"/>
      <c r="R208" s="50">
        <v>20</v>
      </c>
      <c r="S208" s="50">
        <v>8</v>
      </c>
      <c r="T208" s="50">
        <v>8</v>
      </c>
      <c r="U208" s="50"/>
      <c r="V208" s="50"/>
      <c r="W208" s="50">
        <v>1</v>
      </c>
      <c r="X208" s="50"/>
      <c r="Y208" s="50"/>
      <c r="Z208" s="50"/>
      <c r="AA208" s="50">
        <f>IF(Patch&lt;10,97,140)</f>
        <v>140</v>
      </c>
      <c r="AB208" s="50">
        <f>IF(Patch&lt;10,147,210)</f>
        <v>210</v>
      </c>
      <c r="AC208" s="50">
        <v>3.3</v>
      </c>
      <c r="AD208" s="50"/>
      <c r="AE208" s="50" t="s">
        <v>571</v>
      </c>
      <c r="AF208" s="50"/>
      <c r="AG208" s="17"/>
      <c r="AH208" s="17"/>
      <c r="AI208" s="17"/>
      <c r="AJ208" s="17"/>
      <c r="AK208" s="17"/>
      <c r="AL208" s="17"/>
      <c r="AM208" s="17"/>
      <c r="AN208" s="17"/>
      <c r="AO208" s="17"/>
      <c r="AP208" s="17"/>
      <c r="AQ208" s="17"/>
      <c r="AR208" s="17"/>
      <c r="AS208" s="17"/>
      <c r="AT208" s="17"/>
      <c r="AU208" s="17"/>
      <c r="AV208" s="17"/>
      <c r="AW208" s="17"/>
      <c r="AX208" s="17"/>
      <c r="AY208" s="17"/>
    </row>
    <row r="209" spans="1:51" x14ac:dyDescent="0.2">
      <c r="A209" s="21" t="s">
        <v>232</v>
      </c>
      <c r="B209" s="20"/>
      <c r="C209" s="20"/>
      <c r="D209" s="20">
        <v>13</v>
      </c>
      <c r="E209" s="20">
        <v>22</v>
      </c>
      <c r="F209" s="20">
        <v>13</v>
      </c>
      <c r="G209" s="20"/>
      <c r="H209" s="20"/>
      <c r="I209" s="20">
        <v>1</v>
      </c>
      <c r="J209" s="20">
        <v>8</v>
      </c>
      <c r="K209" s="20">
        <v>512</v>
      </c>
      <c r="L209" s="20"/>
      <c r="M209" s="20"/>
      <c r="N209" s="17"/>
      <c r="O209" s="27" t="s">
        <v>463</v>
      </c>
      <c r="P209" s="50"/>
      <c r="Q209" s="50"/>
      <c r="R209" s="50"/>
      <c r="S209" s="50"/>
      <c r="T209" s="50"/>
      <c r="U209" s="50"/>
      <c r="V209" s="50"/>
      <c r="W209" s="50"/>
      <c r="X209" s="50"/>
      <c r="Y209" s="50"/>
      <c r="Z209" s="50"/>
      <c r="AA209" s="50">
        <f>IF(Patch&lt;10,133,171)</f>
        <v>171</v>
      </c>
      <c r="AB209" s="50">
        <f>IF(Patch&lt;10,200,257)</f>
        <v>257</v>
      </c>
      <c r="AC209" s="50">
        <v>3.6</v>
      </c>
      <c r="AD209" s="50"/>
      <c r="AE209" s="50" t="s">
        <v>571</v>
      </c>
      <c r="AF209" s="50"/>
      <c r="AG209" s="17"/>
      <c r="AH209" s="17"/>
      <c r="AI209" s="17"/>
      <c r="AJ209" s="17"/>
      <c r="AK209" s="17"/>
      <c r="AL209" s="17"/>
      <c r="AM209" s="17"/>
      <c r="AN209" s="17"/>
      <c r="AO209" s="17"/>
      <c r="AP209" s="17"/>
      <c r="AQ209" s="17"/>
      <c r="AR209" s="17"/>
      <c r="AS209" s="17"/>
      <c r="AT209" s="17"/>
      <c r="AU209" s="17"/>
      <c r="AV209" s="17"/>
      <c r="AW209" s="17"/>
      <c r="AX209" s="17"/>
      <c r="AY209" s="17"/>
    </row>
    <row r="210" spans="1:51" x14ac:dyDescent="0.2">
      <c r="A210" s="21" t="s">
        <v>237</v>
      </c>
      <c r="B210" s="20">
        <v>1</v>
      </c>
      <c r="C210" s="20"/>
      <c r="D210" s="20">
        <f>IF(Patch&lt;11,18,25)</f>
        <v>25</v>
      </c>
      <c r="E210" s="20">
        <v>10</v>
      </c>
      <c r="F210" s="20"/>
      <c r="G210" s="20"/>
      <c r="H210" s="20"/>
      <c r="I210" s="20"/>
      <c r="J210" s="20"/>
      <c r="K210" s="20">
        <f>IF(Patch&lt;11,397,391)</f>
        <v>391</v>
      </c>
      <c r="L210" s="20"/>
      <c r="M210" s="20"/>
      <c r="N210" s="17"/>
      <c r="O210" s="27" t="s">
        <v>455</v>
      </c>
      <c r="P210" s="50"/>
      <c r="Q210" s="50"/>
      <c r="R210" s="50">
        <f ca="1">300*(1-2.71828^(-(WhiteMHConnects+YellowConnects+HoJConnects+SSConnects+WindfuryConnects)*8*VLOOKUP(O210,ProcChance,4,FALSE)))</f>
        <v>155.48195376043677</v>
      </c>
      <c r="S210" s="50">
        <v>16</v>
      </c>
      <c r="T210" s="50">
        <v>22</v>
      </c>
      <c r="U210" s="50"/>
      <c r="V210" s="50"/>
      <c r="W210" s="50"/>
      <c r="X210" s="50"/>
      <c r="Y210" s="50"/>
      <c r="Z210" s="50"/>
      <c r="AA210" s="50">
        <v>192</v>
      </c>
      <c r="AB210" s="50">
        <v>289</v>
      </c>
      <c r="AC210" s="50">
        <v>3.4</v>
      </c>
      <c r="AD210" s="50"/>
      <c r="AE210" s="50" t="s">
        <v>571</v>
      </c>
      <c r="AF210" s="50"/>
      <c r="AG210" s="17"/>
      <c r="AH210" s="17"/>
      <c r="AI210" s="17"/>
      <c r="AJ210" s="17"/>
      <c r="AK210" s="17"/>
      <c r="AL210" s="17"/>
      <c r="AM210" s="17"/>
      <c r="AN210" s="17"/>
      <c r="AO210" s="17"/>
      <c r="AP210" s="17"/>
      <c r="AQ210" s="17"/>
      <c r="AR210" s="17"/>
      <c r="AS210" s="17"/>
      <c r="AT210" s="17"/>
      <c r="AU210" s="17"/>
      <c r="AV210" s="17"/>
      <c r="AW210" s="17"/>
      <c r="AX210" s="17"/>
      <c r="AY210" s="17"/>
    </row>
    <row r="211" spans="1:51" x14ac:dyDescent="0.2">
      <c r="A211" s="21" t="s">
        <v>1231</v>
      </c>
      <c r="B211" s="20">
        <v>1</v>
      </c>
      <c r="C211" s="20"/>
      <c r="D211" s="20"/>
      <c r="E211" s="20">
        <v>22</v>
      </c>
      <c r="F211" s="20"/>
      <c r="G211" s="20">
        <v>44</v>
      </c>
      <c r="H211" s="20"/>
      <c r="I211" s="20"/>
      <c r="J211" s="20"/>
      <c r="K211" s="20">
        <v>295</v>
      </c>
      <c r="L211" s="20"/>
      <c r="M211" s="20"/>
      <c r="N211" s="17"/>
      <c r="O211" s="27" t="s">
        <v>456</v>
      </c>
      <c r="P211" s="50"/>
      <c r="Q211" s="50"/>
      <c r="R211" s="50">
        <v>14</v>
      </c>
      <c r="S211" s="50">
        <v>10</v>
      </c>
      <c r="T211" s="50">
        <v>20</v>
      </c>
      <c r="U211" s="50"/>
      <c r="V211" s="50"/>
      <c r="W211" s="50">
        <v>1</v>
      </c>
      <c r="X211" s="50"/>
      <c r="Y211" s="50"/>
      <c r="Z211" s="50"/>
      <c r="AA211" s="50">
        <v>150</v>
      </c>
      <c r="AB211" s="50">
        <v>225</v>
      </c>
      <c r="AC211" s="50">
        <v>2.9</v>
      </c>
      <c r="AD211" s="50"/>
      <c r="AE211" s="50" t="s">
        <v>571</v>
      </c>
      <c r="AF211" s="50"/>
      <c r="AG211" s="17"/>
      <c r="AH211" s="17"/>
      <c r="AI211" s="17"/>
      <c r="AJ211" s="17"/>
      <c r="AK211" s="17"/>
      <c r="AL211" s="17"/>
      <c r="AM211" s="17"/>
      <c r="AN211" s="17"/>
      <c r="AO211" s="17"/>
      <c r="AP211" s="17"/>
      <c r="AQ211" s="17"/>
      <c r="AR211" s="17"/>
      <c r="AS211" s="17"/>
      <c r="AT211" s="17"/>
      <c r="AU211" s="17"/>
      <c r="AV211" s="17"/>
      <c r="AW211" s="17"/>
      <c r="AX211" s="17"/>
      <c r="AY211" s="17"/>
    </row>
    <row r="212" spans="1:51" x14ac:dyDescent="0.2">
      <c r="A212" s="21" t="s">
        <v>234</v>
      </c>
      <c r="B212" s="20"/>
      <c r="C212" s="20"/>
      <c r="D212" s="20">
        <v>26</v>
      </c>
      <c r="E212" s="20">
        <v>17</v>
      </c>
      <c r="F212" s="20">
        <v>19</v>
      </c>
      <c r="G212" s="20"/>
      <c r="H212" s="20"/>
      <c r="I212" s="20"/>
      <c r="J212" s="20"/>
      <c r="K212" s="20">
        <v>476</v>
      </c>
      <c r="L212" s="20"/>
      <c r="M212" s="20"/>
      <c r="N212" s="17"/>
      <c r="O212" s="27" t="s">
        <v>461</v>
      </c>
      <c r="P212" s="50"/>
      <c r="Q212" s="50"/>
      <c r="R212" s="50"/>
      <c r="S212" s="50"/>
      <c r="T212" s="50"/>
      <c r="U212" s="50"/>
      <c r="V212" s="50"/>
      <c r="W212" s="50"/>
      <c r="X212" s="50"/>
      <c r="Y212" s="50"/>
      <c r="Z212" s="50"/>
      <c r="AA212" s="50">
        <v>143</v>
      </c>
      <c r="AB212" s="50">
        <v>236</v>
      </c>
      <c r="AC212" s="50">
        <v>3.3</v>
      </c>
      <c r="AD212" s="50"/>
      <c r="AE212" s="50" t="s">
        <v>571</v>
      </c>
      <c r="AF212" s="50"/>
      <c r="AG212" s="17"/>
      <c r="AH212" s="17"/>
      <c r="AI212" s="17"/>
      <c r="AJ212" s="17"/>
      <c r="AK212" s="17"/>
      <c r="AL212" s="17"/>
      <c r="AM212" s="17"/>
      <c r="AN212" s="17"/>
      <c r="AO212" s="17"/>
      <c r="AP212" s="17"/>
      <c r="AQ212" s="17"/>
      <c r="AR212" s="17"/>
      <c r="AS212" s="17"/>
      <c r="AT212" s="17"/>
      <c r="AU212" s="17"/>
      <c r="AV212" s="17"/>
      <c r="AW212" s="17"/>
      <c r="AX212" s="17"/>
      <c r="AY212" s="17"/>
    </row>
    <row r="213" spans="1:51" x14ac:dyDescent="0.2">
      <c r="A213" s="21" t="s">
        <v>233</v>
      </c>
      <c r="B213" s="20"/>
      <c r="C213" s="20"/>
      <c r="D213" s="20">
        <v>20</v>
      </c>
      <c r="E213" s="20">
        <v>20</v>
      </c>
      <c r="F213" s="20"/>
      <c r="G213" s="20"/>
      <c r="H213" s="20"/>
      <c r="I213" s="20"/>
      <c r="J213" s="20">
        <f>IF(Patch&lt;7,10,7)</f>
        <v>7</v>
      </c>
      <c r="K213" s="20">
        <v>482</v>
      </c>
      <c r="L213" s="20"/>
      <c r="M213" s="20"/>
      <c r="N213" s="17"/>
      <c r="O213" s="27" t="s">
        <v>458</v>
      </c>
      <c r="P213" s="50"/>
      <c r="Q213" s="50"/>
      <c r="R213" s="50"/>
      <c r="S213" s="50">
        <v>28</v>
      </c>
      <c r="T213" s="50"/>
      <c r="U213" s="50">
        <v>72</v>
      </c>
      <c r="V213" s="50"/>
      <c r="W213" s="50"/>
      <c r="X213" s="50"/>
      <c r="Y213" s="50"/>
      <c r="Z213" s="50"/>
      <c r="AA213" s="50">
        <v>196</v>
      </c>
      <c r="AB213" s="50">
        <v>295</v>
      </c>
      <c r="AC213" s="50">
        <v>3.8</v>
      </c>
      <c r="AD213" s="50"/>
      <c r="AE213" s="50" t="s">
        <v>571</v>
      </c>
      <c r="AF213" s="50"/>
      <c r="AG213" s="17"/>
      <c r="AH213" s="17"/>
      <c r="AI213" s="17"/>
      <c r="AJ213" s="17"/>
      <c r="AK213" s="17"/>
      <c r="AL213" s="17"/>
      <c r="AM213" s="17"/>
      <c r="AN213" s="17"/>
      <c r="AO213" s="17"/>
      <c r="AP213" s="17"/>
      <c r="AQ213" s="17"/>
      <c r="AR213" s="17"/>
      <c r="AS213" s="17"/>
      <c r="AT213" s="17"/>
      <c r="AU213" s="17"/>
      <c r="AV213" s="17"/>
      <c r="AW213" s="17"/>
      <c r="AX213" s="17"/>
      <c r="AY213" s="17"/>
    </row>
    <row r="214" spans="1:51" ht="12.75" customHeight="1" x14ac:dyDescent="0.2">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c r="AB214" s="17"/>
      <c r="AC214" s="17"/>
      <c r="AD214" s="17"/>
      <c r="AE214" s="17"/>
      <c r="AF214" s="17"/>
      <c r="AG214" s="17"/>
      <c r="AH214" s="17"/>
      <c r="AI214" s="17"/>
      <c r="AJ214" s="17"/>
      <c r="AK214" s="17"/>
      <c r="AL214" s="17"/>
      <c r="AM214" s="17"/>
      <c r="AN214" s="17"/>
      <c r="AO214" s="17"/>
      <c r="AP214" s="17"/>
      <c r="AQ214" s="17"/>
      <c r="AR214" s="17"/>
      <c r="AS214" s="17"/>
      <c r="AT214" s="17"/>
      <c r="AU214" s="17"/>
      <c r="AV214" s="17"/>
      <c r="AW214" s="17"/>
      <c r="AX214" s="17"/>
      <c r="AY214" s="17"/>
    </row>
    <row r="215" spans="1:51" ht="12.75" customHeight="1" x14ac:dyDescent="0.2">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c r="AB215" s="17"/>
      <c r="AC215" s="17"/>
      <c r="AD215" s="17"/>
      <c r="AE215" s="17"/>
      <c r="AF215" s="17"/>
      <c r="AG215" s="17"/>
      <c r="AH215" s="17"/>
      <c r="AI215" s="17"/>
      <c r="AJ215" s="17"/>
      <c r="AK215" s="17"/>
      <c r="AL215" s="17"/>
      <c r="AM215" s="17"/>
      <c r="AN215" s="17"/>
      <c r="AO215" s="17"/>
      <c r="AP215" s="17"/>
      <c r="AQ215" s="17"/>
      <c r="AR215" s="17"/>
      <c r="AS215" s="17"/>
      <c r="AT215" s="17"/>
      <c r="AU215" s="17"/>
      <c r="AV215" s="17"/>
      <c r="AW215" s="17"/>
      <c r="AX215" s="17"/>
      <c r="AY215" s="17"/>
    </row>
    <row r="216" spans="1:51" ht="12.75" customHeight="1" x14ac:dyDescent="0.4">
      <c r="A216" s="171" t="s">
        <v>23</v>
      </c>
      <c r="B216" s="171"/>
      <c r="C216" s="171"/>
      <c r="D216" s="171"/>
      <c r="E216" s="171"/>
      <c r="F216" s="171"/>
      <c r="G216" s="171"/>
      <c r="H216" s="171"/>
      <c r="I216" s="171"/>
      <c r="J216" s="171"/>
      <c r="K216" s="171"/>
      <c r="L216" s="171"/>
      <c r="M216" s="171"/>
      <c r="N216" s="17"/>
      <c r="O216" s="171" t="s">
        <v>35</v>
      </c>
      <c r="P216" s="171"/>
      <c r="Q216" s="171"/>
      <c r="R216" s="171"/>
      <c r="S216" s="171"/>
      <c r="T216" s="171"/>
      <c r="U216" s="171"/>
      <c r="V216" s="171"/>
      <c r="W216" s="171"/>
      <c r="X216" s="171"/>
      <c r="Y216" s="171"/>
      <c r="Z216" s="171"/>
      <c r="AA216" s="171"/>
      <c r="AB216" s="143"/>
      <c r="AC216" s="143"/>
      <c r="AD216" s="143"/>
      <c r="AE216" s="143"/>
      <c r="AF216" s="143"/>
      <c r="AG216" s="140"/>
      <c r="AH216" s="140"/>
      <c r="AI216" s="17"/>
      <c r="AJ216" s="17"/>
      <c r="AK216" s="17"/>
      <c r="AL216" s="17"/>
      <c r="AM216" s="17"/>
      <c r="AN216" s="17"/>
      <c r="AO216" s="17"/>
      <c r="AP216" s="17"/>
      <c r="AQ216" s="17"/>
      <c r="AR216" s="17"/>
      <c r="AS216" s="17"/>
      <c r="AT216" s="17"/>
      <c r="AU216" s="17"/>
      <c r="AV216" s="17"/>
      <c r="AW216" s="17"/>
      <c r="AX216" s="17"/>
      <c r="AY216" s="17"/>
    </row>
    <row r="217" spans="1:51" ht="12.75" customHeight="1" x14ac:dyDescent="0.4">
      <c r="A217" s="172"/>
      <c r="B217" s="172"/>
      <c r="C217" s="172"/>
      <c r="D217" s="172"/>
      <c r="E217" s="172"/>
      <c r="F217" s="172"/>
      <c r="G217" s="172"/>
      <c r="H217" s="172"/>
      <c r="I217" s="172"/>
      <c r="J217" s="172"/>
      <c r="K217" s="172"/>
      <c r="L217" s="172"/>
      <c r="M217" s="172"/>
      <c r="N217" s="17"/>
      <c r="O217" s="172"/>
      <c r="P217" s="172"/>
      <c r="Q217" s="172"/>
      <c r="R217" s="172"/>
      <c r="S217" s="172"/>
      <c r="T217" s="172"/>
      <c r="U217" s="172"/>
      <c r="V217" s="172"/>
      <c r="W217" s="172"/>
      <c r="X217" s="172"/>
      <c r="Y217" s="172"/>
      <c r="Z217" s="172"/>
      <c r="AA217" s="172"/>
      <c r="AB217" s="143"/>
      <c r="AC217" s="143"/>
      <c r="AD217" s="143"/>
      <c r="AE217" s="143"/>
      <c r="AF217" s="143"/>
      <c r="AG217" s="140"/>
      <c r="AH217" s="140"/>
      <c r="AI217" s="17"/>
      <c r="AJ217" s="17"/>
      <c r="AK217" s="17"/>
      <c r="AL217" s="17"/>
      <c r="AM217" s="17"/>
      <c r="AN217" s="17"/>
      <c r="AO217" s="17"/>
      <c r="AP217" s="17"/>
      <c r="AQ217" s="17"/>
      <c r="AR217" s="17"/>
      <c r="AS217" s="17"/>
      <c r="AT217" s="17"/>
      <c r="AU217" s="17"/>
      <c r="AV217" s="17"/>
      <c r="AW217" s="17"/>
      <c r="AX217" s="17"/>
      <c r="AY217" s="17"/>
    </row>
    <row r="218" spans="1:51" x14ac:dyDescent="0.2">
      <c r="A218" s="22" t="s">
        <v>0</v>
      </c>
      <c r="B218" s="22" t="s">
        <v>1</v>
      </c>
      <c r="C218" s="22" t="s">
        <v>2</v>
      </c>
      <c r="D218" s="22" t="s">
        <v>3</v>
      </c>
      <c r="E218" s="22" t="s">
        <v>4</v>
      </c>
      <c r="F218" s="22" t="s">
        <v>5</v>
      </c>
      <c r="G218" s="22" t="s">
        <v>6</v>
      </c>
      <c r="H218" s="22" t="s">
        <v>140</v>
      </c>
      <c r="I218" s="22" t="s">
        <v>156</v>
      </c>
      <c r="J218" s="22" t="s">
        <v>157</v>
      </c>
      <c r="K218" s="22" t="s">
        <v>7</v>
      </c>
      <c r="L218" s="22" t="s">
        <v>122</v>
      </c>
      <c r="M218" s="22" t="s">
        <v>1049</v>
      </c>
      <c r="N218" s="17"/>
      <c r="O218" s="22" t="s">
        <v>0</v>
      </c>
      <c r="P218" s="22" t="s">
        <v>1</v>
      </c>
      <c r="Q218" s="22" t="s">
        <v>2</v>
      </c>
      <c r="R218" s="22" t="s">
        <v>3</v>
      </c>
      <c r="S218" s="22" t="s">
        <v>4</v>
      </c>
      <c r="T218" s="22" t="s">
        <v>5</v>
      </c>
      <c r="U218" s="22" t="s">
        <v>6</v>
      </c>
      <c r="V218" s="22" t="s">
        <v>140</v>
      </c>
      <c r="W218" s="22" t="s">
        <v>156</v>
      </c>
      <c r="X218" s="22" t="s">
        <v>157</v>
      </c>
      <c r="Y218" s="22" t="s">
        <v>7</v>
      </c>
      <c r="Z218" s="22" t="s">
        <v>122</v>
      </c>
      <c r="AA218" s="22" t="s">
        <v>1049</v>
      </c>
      <c r="AB218" s="17"/>
      <c r="AC218" s="17"/>
      <c r="AD218" s="17"/>
      <c r="AE218" s="17"/>
      <c r="AF218" s="17"/>
      <c r="AG218" s="17"/>
      <c r="AH218" s="17"/>
      <c r="AI218" s="17"/>
      <c r="AJ218" s="17"/>
      <c r="AK218" s="17"/>
      <c r="AL218" s="17"/>
      <c r="AM218" s="17"/>
      <c r="AN218" s="17"/>
      <c r="AO218" s="17"/>
      <c r="AP218" s="17"/>
      <c r="AQ218" s="17"/>
      <c r="AR218" s="17"/>
      <c r="AS218" s="17"/>
      <c r="AT218" s="17"/>
      <c r="AU218" s="17"/>
      <c r="AV218" s="17"/>
      <c r="AW218" s="17"/>
      <c r="AX218" s="17"/>
      <c r="AY218" s="17"/>
    </row>
    <row r="219" spans="1:51" x14ac:dyDescent="0.2">
      <c r="A219" s="21" t="s">
        <v>393</v>
      </c>
      <c r="B219" s="19"/>
      <c r="C219" s="19"/>
      <c r="D219" s="19"/>
      <c r="E219" s="19"/>
      <c r="F219" s="19"/>
      <c r="G219" s="19"/>
      <c r="H219" s="19"/>
      <c r="I219" s="19"/>
      <c r="J219" s="19"/>
      <c r="K219" s="19"/>
      <c r="L219" s="19"/>
      <c r="M219" s="19"/>
      <c r="N219" s="17"/>
      <c r="O219" s="21" t="s">
        <v>393</v>
      </c>
      <c r="P219" s="19"/>
      <c r="Q219" s="19"/>
      <c r="R219" s="19"/>
      <c r="S219" s="19"/>
      <c r="T219" s="19"/>
      <c r="U219" s="19"/>
      <c r="V219" s="19"/>
      <c r="W219" s="19"/>
      <c r="X219" s="19"/>
      <c r="Y219" s="19"/>
      <c r="Z219" s="19"/>
      <c r="AA219" s="19"/>
      <c r="AB219" s="17"/>
      <c r="AC219" s="17"/>
      <c r="AD219" s="17"/>
      <c r="AE219" s="17"/>
      <c r="AF219" s="17"/>
      <c r="AG219" s="17"/>
      <c r="AH219" s="17"/>
      <c r="AI219" s="17"/>
      <c r="AJ219" s="17"/>
      <c r="AK219" s="17"/>
      <c r="AL219" s="17"/>
      <c r="AM219" s="17"/>
      <c r="AN219" s="17"/>
      <c r="AO219" s="17"/>
      <c r="AP219" s="17"/>
      <c r="AQ219" s="17"/>
      <c r="AR219" s="17"/>
      <c r="AS219" s="17"/>
      <c r="AT219" s="17"/>
      <c r="AU219" s="17"/>
      <c r="AV219" s="17"/>
      <c r="AW219" s="17"/>
      <c r="AX219" s="17"/>
      <c r="AY219" s="17"/>
    </row>
    <row r="220" spans="1:51" x14ac:dyDescent="0.2">
      <c r="A220" s="21" t="s">
        <v>1050</v>
      </c>
      <c r="B220" s="19"/>
      <c r="C220" s="19"/>
      <c r="D220" s="19"/>
      <c r="E220" s="19"/>
      <c r="F220" s="19"/>
      <c r="G220" s="19"/>
      <c r="H220" s="19"/>
      <c r="I220" s="19"/>
      <c r="J220" s="19"/>
      <c r="K220" s="19"/>
      <c r="L220" s="19"/>
      <c r="M220" s="19"/>
      <c r="N220" s="17"/>
      <c r="O220" s="44" t="s">
        <v>1050</v>
      </c>
      <c r="P220" s="45"/>
      <c r="Q220" s="45"/>
      <c r="R220" s="45"/>
      <c r="S220" s="45"/>
      <c r="T220" s="45"/>
      <c r="U220" s="45"/>
      <c r="V220" s="45"/>
      <c r="W220" s="45"/>
      <c r="X220" s="45"/>
      <c r="Y220" s="45"/>
      <c r="Z220" s="45"/>
      <c r="AA220" s="45"/>
      <c r="AB220" s="17"/>
      <c r="AC220" s="17"/>
      <c r="AD220" s="17"/>
      <c r="AE220" s="17"/>
      <c r="AF220" s="17"/>
      <c r="AG220" s="17"/>
      <c r="AH220" s="17"/>
      <c r="AI220" s="17"/>
      <c r="AJ220" s="17"/>
      <c r="AK220" s="17"/>
      <c r="AL220" s="17"/>
      <c r="AM220" s="17"/>
      <c r="AN220" s="17"/>
      <c r="AO220" s="17"/>
      <c r="AP220" s="17"/>
      <c r="AQ220" s="17"/>
      <c r="AR220" s="17"/>
      <c r="AS220" s="17"/>
      <c r="AT220" s="17"/>
      <c r="AU220" s="17"/>
      <c r="AV220" s="17"/>
      <c r="AW220" s="17"/>
      <c r="AX220" s="17"/>
      <c r="AY220" s="17"/>
    </row>
    <row r="221" spans="1:51" x14ac:dyDescent="0.2">
      <c r="A221" s="21" t="s">
        <v>249</v>
      </c>
      <c r="B221" s="20">
        <v>1</v>
      </c>
      <c r="C221" s="20"/>
      <c r="D221" s="20">
        <v>15</v>
      </c>
      <c r="E221" s="20">
        <v>15</v>
      </c>
      <c r="F221" s="20">
        <v>15</v>
      </c>
      <c r="G221" s="20"/>
      <c r="H221" s="20"/>
      <c r="I221" s="20"/>
      <c r="J221" s="20"/>
      <c r="K221" s="20">
        <v>566</v>
      </c>
      <c r="L221" s="20"/>
      <c r="M221" s="20"/>
      <c r="N221" s="17"/>
      <c r="O221" s="43" t="s">
        <v>1026</v>
      </c>
      <c r="P221" s="31"/>
      <c r="Q221" s="31"/>
      <c r="R221" s="31"/>
      <c r="S221" s="31"/>
      <c r="T221" s="31"/>
      <c r="U221" s="31"/>
      <c r="V221" s="31"/>
      <c r="W221" s="31"/>
      <c r="X221" s="31"/>
      <c r="Y221" s="31"/>
      <c r="Z221" s="31"/>
      <c r="AA221" s="32"/>
      <c r="AB221" s="17"/>
      <c r="AC221" s="17"/>
      <c r="AD221" s="17"/>
      <c r="AE221" s="17"/>
      <c r="AF221" s="17"/>
      <c r="AG221" s="17"/>
      <c r="AH221" s="17"/>
      <c r="AI221" s="17"/>
      <c r="AJ221" s="17"/>
      <c r="AK221" s="17"/>
      <c r="AL221" s="17"/>
      <c r="AM221" s="17"/>
      <c r="AN221" s="17"/>
      <c r="AO221" s="17"/>
      <c r="AP221" s="17"/>
      <c r="AQ221" s="17"/>
      <c r="AR221" s="17"/>
      <c r="AS221" s="17"/>
      <c r="AT221" s="17"/>
      <c r="AU221" s="17"/>
      <c r="AV221" s="17"/>
      <c r="AW221" s="17"/>
      <c r="AX221" s="17"/>
      <c r="AY221" s="17"/>
    </row>
    <row r="222" spans="1:51" x14ac:dyDescent="0.2">
      <c r="A222" s="21" t="s">
        <v>758</v>
      </c>
      <c r="B222" s="20"/>
      <c r="C222" s="20"/>
      <c r="D222" s="20"/>
      <c r="E222" s="20">
        <v>8</v>
      </c>
      <c r="F222" s="20"/>
      <c r="G222" s="20">
        <v>54</v>
      </c>
      <c r="H222" s="20"/>
      <c r="I222" s="20"/>
      <c r="J222" s="20"/>
      <c r="K222" s="20">
        <v>320</v>
      </c>
      <c r="L222" s="20"/>
      <c r="M222" s="20"/>
      <c r="N222" s="17"/>
      <c r="O222" s="33" t="s">
        <v>363</v>
      </c>
      <c r="P222" s="34"/>
      <c r="Q222" s="34"/>
      <c r="R222" s="34"/>
      <c r="S222" s="34"/>
      <c r="T222" s="34"/>
      <c r="U222" s="34"/>
      <c r="V222" s="34"/>
      <c r="W222" s="34"/>
      <c r="X222" s="34"/>
      <c r="Y222" s="34"/>
      <c r="Z222" s="34"/>
      <c r="AA222" s="35"/>
      <c r="AB222" s="17"/>
      <c r="AC222" s="17"/>
      <c r="AD222" s="17"/>
      <c r="AE222" s="17"/>
      <c r="AF222" s="17"/>
      <c r="AG222" s="17"/>
      <c r="AH222" s="17"/>
      <c r="AI222" s="17"/>
      <c r="AJ222" s="17"/>
      <c r="AK222" s="17"/>
      <c r="AL222" s="17"/>
      <c r="AM222" s="17"/>
      <c r="AN222" s="17"/>
      <c r="AO222" s="17"/>
      <c r="AP222" s="17"/>
      <c r="AQ222" s="17"/>
      <c r="AR222" s="17"/>
      <c r="AS222" s="17"/>
      <c r="AT222" s="17"/>
      <c r="AU222" s="17"/>
      <c r="AV222" s="17"/>
      <c r="AW222" s="17"/>
      <c r="AX222" s="17"/>
      <c r="AY222" s="17"/>
    </row>
    <row r="223" spans="1:51" x14ac:dyDescent="0.2">
      <c r="A223" s="21" t="s">
        <v>254</v>
      </c>
      <c r="B223" s="20">
        <v>1</v>
      </c>
      <c r="C223" s="20">
        <v>1</v>
      </c>
      <c r="D223" s="20"/>
      <c r="E223" s="20"/>
      <c r="F223" s="20">
        <v>5</v>
      </c>
      <c r="G223" s="20"/>
      <c r="H223" s="20">
        <v>2</v>
      </c>
      <c r="I223" s="20"/>
      <c r="J223" s="20"/>
      <c r="K223" s="20">
        <v>154</v>
      </c>
      <c r="L223" s="20"/>
      <c r="M223" s="20"/>
      <c r="N223" s="17"/>
      <c r="O223" s="48" t="s">
        <v>1026</v>
      </c>
      <c r="P223" s="37"/>
      <c r="Q223" s="37"/>
      <c r="R223" s="37"/>
      <c r="S223" s="37"/>
      <c r="T223" s="37"/>
      <c r="U223" s="37"/>
      <c r="V223" s="37"/>
      <c r="W223" s="37"/>
      <c r="X223" s="37"/>
      <c r="Y223" s="37"/>
      <c r="Z223" s="37"/>
      <c r="AA223" s="38"/>
      <c r="AB223" s="17"/>
      <c r="AC223" s="17"/>
      <c r="AD223" s="17"/>
      <c r="AE223" s="17"/>
      <c r="AF223" s="17"/>
      <c r="AG223" s="17"/>
      <c r="AH223" s="17"/>
      <c r="AI223" s="17"/>
      <c r="AJ223" s="17"/>
      <c r="AK223" s="17"/>
      <c r="AL223" s="17"/>
      <c r="AM223" s="17"/>
      <c r="AN223" s="17"/>
      <c r="AO223" s="17"/>
      <c r="AP223" s="17"/>
      <c r="AQ223" s="17"/>
      <c r="AR223" s="17"/>
      <c r="AS223" s="17"/>
      <c r="AT223" s="17"/>
      <c r="AU223" s="17"/>
      <c r="AV223" s="17"/>
      <c r="AW223" s="17"/>
      <c r="AX223" s="17"/>
      <c r="AY223" s="17"/>
    </row>
    <row r="224" spans="1:51" x14ac:dyDescent="0.2">
      <c r="A224" s="21" t="s">
        <v>246</v>
      </c>
      <c r="B224" s="20"/>
      <c r="C224" s="20"/>
      <c r="D224" s="20">
        <v>36</v>
      </c>
      <c r="E224" s="20">
        <v>21</v>
      </c>
      <c r="F224" s="20"/>
      <c r="G224" s="20"/>
      <c r="H224" s="20"/>
      <c r="I224" s="20"/>
      <c r="J224" s="20">
        <v>10</v>
      </c>
      <c r="K224" s="20">
        <v>674</v>
      </c>
      <c r="L224" s="20"/>
      <c r="M224" s="20"/>
      <c r="N224" s="17"/>
      <c r="O224" s="46" t="s">
        <v>371</v>
      </c>
      <c r="P224" s="47"/>
      <c r="Q224" s="47"/>
      <c r="R224" s="47"/>
      <c r="S224" s="47"/>
      <c r="T224" s="47">
        <v>11</v>
      </c>
      <c r="U224" s="47"/>
      <c r="V224" s="47"/>
      <c r="W224" s="47"/>
      <c r="X224" s="47"/>
      <c r="Y224" s="47"/>
      <c r="Z224" s="47"/>
      <c r="AA224" s="47"/>
      <c r="AB224" s="17"/>
      <c r="AC224" s="17"/>
      <c r="AD224" s="17"/>
      <c r="AE224" s="17"/>
      <c r="AF224" s="17"/>
      <c r="AG224" s="17"/>
      <c r="AH224" s="17"/>
      <c r="AI224" s="17"/>
      <c r="AJ224" s="17"/>
      <c r="AK224" s="17"/>
      <c r="AL224" s="17"/>
      <c r="AM224" s="17"/>
      <c r="AN224" s="17"/>
      <c r="AO224" s="17"/>
      <c r="AP224" s="17"/>
      <c r="AQ224" s="17"/>
      <c r="AR224" s="17"/>
      <c r="AS224" s="17"/>
      <c r="AT224" s="17"/>
      <c r="AU224" s="17"/>
      <c r="AV224" s="17"/>
      <c r="AW224" s="17"/>
      <c r="AX224" s="17"/>
      <c r="AY224" s="17"/>
    </row>
    <row r="225" spans="1:51" x14ac:dyDescent="0.2">
      <c r="A225" s="21" t="s">
        <v>255</v>
      </c>
      <c r="B225" s="20"/>
      <c r="C225" s="20"/>
      <c r="D225" s="20">
        <f>IF(Patch&lt;10,10,0)</f>
        <v>0</v>
      </c>
      <c r="E225" s="20">
        <v>18</v>
      </c>
      <c r="F225" s="20">
        <f>IF(Patch&lt;10,12,0)</f>
        <v>0</v>
      </c>
      <c r="G225" s="20">
        <f>IF(Patch&lt;10,0,52)</f>
        <v>52</v>
      </c>
      <c r="H225" s="20"/>
      <c r="I225" s="20"/>
      <c r="J225" s="20"/>
      <c r="K225" s="20">
        <f>IF(Patch&lt;10,136,150)</f>
        <v>150</v>
      </c>
      <c r="L225" s="20"/>
      <c r="M225" s="20"/>
      <c r="N225" s="17"/>
      <c r="O225" s="21" t="s">
        <v>367</v>
      </c>
      <c r="P225" s="20"/>
      <c r="Q225" s="20"/>
      <c r="R225" s="20"/>
      <c r="S225" s="20"/>
      <c r="T225" s="20"/>
      <c r="U225" s="20">
        <v>22</v>
      </c>
      <c r="V225" s="20"/>
      <c r="W225" s="20"/>
      <c r="X225" s="20"/>
      <c r="Y225" s="20"/>
      <c r="Z225" s="20"/>
      <c r="AA225" s="20"/>
      <c r="AB225" s="17"/>
      <c r="AC225" s="17"/>
      <c r="AD225" s="17"/>
      <c r="AE225" s="17"/>
      <c r="AF225" s="17"/>
      <c r="AG225" s="17"/>
      <c r="AH225" s="17"/>
      <c r="AI225" s="17"/>
      <c r="AJ225" s="17"/>
      <c r="AK225" s="17"/>
      <c r="AL225" s="17"/>
      <c r="AM225" s="17"/>
      <c r="AN225" s="17"/>
      <c r="AO225" s="17"/>
      <c r="AP225" s="17"/>
      <c r="AQ225" s="17"/>
      <c r="AR225" s="17"/>
      <c r="AS225" s="17"/>
      <c r="AT225" s="17"/>
      <c r="AU225" s="17"/>
      <c r="AV225" s="17"/>
      <c r="AW225" s="17"/>
      <c r="AX225" s="17"/>
      <c r="AY225" s="17"/>
    </row>
    <row r="226" spans="1:51" x14ac:dyDescent="0.2">
      <c r="A226" s="21" t="s">
        <v>796</v>
      </c>
      <c r="B226" s="20"/>
      <c r="C226" s="20"/>
      <c r="D226" s="20">
        <v>20</v>
      </c>
      <c r="E226" s="20">
        <v>20</v>
      </c>
      <c r="F226" s="20">
        <v>20</v>
      </c>
      <c r="G226" s="20">
        <f>100*30/FightDuration*DPS!E80</f>
        <v>0</v>
      </c>
      <c r="H226" s="20"/>
      <c r="I226" s="20"/>
      <c r="J226" s="20"/>
      <c r="K226" s="20">
        <v>617</v>
      </c>
      <c r="L226" s="20"/>
      <c r="M226" s="20"/>
      <c r="N226" s="17"/>
      <c r="O226" s="21" t="s">
        <v>370</v>
      </c>
      <c r="P226" s="20"/>
      <c r="Q226" s="20"/>
      <c r="R226" s="20">
        <v>2</v>
      </c>
      <c r="S226" s="20">
        <v>9</v>
      </c>
      <c r="T226" s="20">
        <v>3</v>
      </c>
      <c r="U226" s="20"/>
      <c r="V226" s="20"/>
      <c r="W226" s="20"/>
      <c r="X226" s="20"/>
      <c r="Y226" s="20"/>
      <c r="Z226" s="20"/>
      <c r="AA226" s="20"/>
      <c r="AB226" s="17"/>
      <c r="AC226" s="17"/>
      <c r="AD226" s="17"/>
      <c r="AE226" s="17"/>
      <c r="AF226" s="17"/>
      <c r="AG226" s="17"/>
      <c r="AH226" s="17"/>
      <c r="AI226" s="17"/>
      <c r="AJ226" s="17"/>
      <c r="AK226" s="17"/>
      <c r="AL226" s="17"/>
      <c r="AM226" s="17"/>
      <c r="AN226" s="17"/>
      <c r="AO226" s="17"/>
      <c r="AP226" s="17"/>
      <c r="AQ226" s="17"/>
      <c r="AR226" s="17"/>
      <c r="AS226" s="17"/>
      <c r="AT226" s="17"/>
      <c r="AU226" s="17"/>
      <c r="AV226" s="17"/>
      <c r="AW226" s="17"/>
      <c r="AX226" s="17"/>
      <c r="AY226" s="17"/>
    </row>
    <row r="227" spans="1:51" x14ac:dyDescent="0.2">
      <c r="A227" s="21" t="s">
        <v>98</v>
      </c>
      <c r="B227" s="20"/>
      <c r="C227" s="20">
        <v>1</v>
      </c>
      <c r="D227" s="20">
        <v>33</v>
      </c>
      <c r="E227" s="20">
        <v>24</v>
      </c>
      <c r="F227" s="20">
        <v>21</v>
      </c>
      <c r="G227" s="20"/>
      <c r="H227" s="20"/>
      <c r="I227" s="20"/>
      <c r="J227" s="20">
        <v>6</v>
      </c>
      <c r="K227" s="20">
        <v>796</v>
      </c>
      <c r="L227" s="20"/>
      <c r="M227" s="20"/>
      <c r="N227" s="17"/>
      <c r="O227" s="21" t="s">
        <v>365</v>
      </c>
      <c r="P227" s="20"/>
      <c r="Q227" s="20"/>
      <c r="R227" s="20"/>
      <c r="S227" s="20">
        <v>9</v>
      </c>
      <c r="T227" s="20"/>
      <c r="U227" s="20">
        <v>24</v>
      </c>
      <c r="V227" s="20"/>
      <c r="W227" s="20"/>
      <c r="X227" s="20"/>
      <c r="Y227" s="20"/>
      <c r="Z227" s="20"/>
      <c r="AA227" s="20"/>
      <c r="AB227" s="17"/>
      <c r="AC227" s="17"/>
      <c r="AD227" s="17"/>
      <c r="AE227" s="17"/>
      <c r="AF227" s="17"/>
      <c r="AG227" s="17"/>
      <c r="AH227" s="17"/>
      <c r="AI227" s="17"/>
      <c r="AJ227" s="17"/>
      <c r="AK227" s="17"/>
      <c r="AL227" s="17"/>
      <c r="AM227" s="17"/>
      <c r="AN227" s="17"/>
      <c r="AO227" s="17"/>
      <c r="AP227" s="17"/>
      <c r="AQ227" s="17"/>
      <c r="AR227" s="17"/>
      <c r="AS227" s="17"/>
      <c r="AT227" s="17"/>
      <c r="AU227" s="17"/>
      <c r="AV227" s="17"/>
      <c r="AW227" s="17"/>
      <c r="AX227" s="17"/>
      <c r="AY227" s="17"/>
    </row>
    <row r="228" spans="1:51" x14ac:dyDescent="0.2">
      <c r="A228" s="21" t="s">
        <v>252</v>
      </c>
      <c r="B228" s="20">
        <v>2</v>
      </c>
      <c r="C228" s="20"/>
      <c r="D228" s="20"/>
      <c r="E228" s="20">
        <v>20</v>
      </c>
      <c r="F228" s="20"/>
      <c r="G228" s="20">
        <v>48</v>
      </c>
      <c r="H228" s="20"/>
      <c r="I228" s="20"/>
      <c r="J228" s="20"/>
      <c r="K228" s="20">
        <v>296</v>
      </c>
      <c r="L228" s="20"/>
      <c r="M228" s="20"/>
      <c r="N228" s="17"/>
      <c r="O228" s="21" t="s">
        <v>366</v>
      </c>
      <c r="P228" s="20"/>
      <c r="Q228" s="20"/>
      <c r="R228" s="20"/>
      <c r="S228" s="20">
        <v>4</v>
      </c>
      <c r="T228" s="20">
        <v>10</v>
      </c>
      <c r="U228" s="20"/>
      <c r="V228" s="20"/>
      <c r="W228" s="20"/>
      <c r="X228" s="20"/>
      <c r="Y228" s="20"/>
      <c r="Z228" s="20"/>
      <c r="AA228" s="20"/>
      <c r="AB228" s="17"/>
      <c r="AC228" s="17"/>
      <c r="AD228" s="17"/>
      <c r="AE228" s="17"/>
      <c r="AF228" s="17"/>
      <c r="AG228" s="17"/>
      <c r="AH228" s="17"/>
      <c r="AI228" s="17"/>
      <c r="AJ228" s="17"/>
      <c r="AK228" s="17"/>
      <c r="AL228" s="17"/>
      <c r="AM228" s="17"/>
      <c r="AN228" s="17"/>
      <c r="AO228" s="17"/>
      <c r="AP228" s="17"/>
      <c r="AQ228" s="17"/>
      <c r="AR228" s="17"/>
      <c r="AS228" s="17"/>
      <c r="AT228" s="17"/>
      <c r="AU228" s="17"/>
      <c r="AV228" s="17"/>
      <c r="AW228" s="17"/>
      <c r="AX228" s="17"/>
      <c r="AY228" s="17"/>
    </row>
    <row r="229" spans="1:51" x14ac:dyDescent="0.2">
      <c r="A229" s="21" t="s">
        <v>654</v>
      </c>
      <c r="B229" s="20">
        <v>1</v>
      </c>
      <c r="C229" s="20"/>
      <c r="D229" s="20"/>
      <c r="E229" s="20">
        <v>12</v>
      </c>
      <c r="F229" s="20"/>
      <c r="G229" s="20">
        <v>46</v>
      </c>
      <c r="H229" s="20"/>
      <c r="I229" s="20"/>
      <c r="J229" s="20"/>
      <c r="K229" s="20">
        <v>148</v>
      </c>
      <c r="L229" s="20"/>
      <c r="M229" s="20"/>
      <c r="N229" s="17"/>
      <c r="O229" s="21" t="s">
        <v>364</v>
      </c>
      <c r="P229" s="20"/>
      <c r="Q229" s="20"/>
      <c r="R229" s="20"/>
      <c r="S229" s="20"/>
      <c r="T229" s="20">
        <v>18</v>
      </c>
      <c r="U229" s="20"/>
      <c r="V229" s="20"/>
      <c r="W229" s="20"/>
      <c r="X229" s="20"/>
      <c r="Y229" s="20"/>
      <c r="Z229" s="20"/>
      <c r="AA229" s="20"/>
      <c r="AB229" s="17"/>
      <c r="AC229" s="17"/>
      <c r="AD229" s="17"/>
      <c r="AE229" s="17"/>
      <c r="AF229" s="17"/>
      <c r="AG229" s="17"/>
      <c r="AH229" s="17"/>
      <c r="AI229" s="17"/>
      <c r="AJ229" s="17"/>
      <c r="AK229" s="17"/>
      <c r="AL229" s="17"/>
      <c r="AM229" s="17"/>
      <c r="AN229" s="17"/>
      <c r="AO229" s="17"/>
      <c r="AP229" s="17"/>
      <c r="AQ229" s="17"/>
      <c r="AR229" s="17"/>
      <c r="AS229" s="17"/>
      <c r="AT229" s="17"/>
      <c r="AU229" s="17"/>
      <c r="AV229" s="17"/>
      <c r="AW229" s="17"/>
      <c r="AX229" s="17"/>
      <c r="AY229" s="17"/>
    </row>
    <row r="230" spans="1:51" x14ac:dyDescent="0.2">
      <c r="A230" s="21" t="s">
        <v>250</v>
      </c>
      <c r="B230" s="20">
        <v>1</v>
      </c>
      <c r="C230" s="20"/>
      <c r="D230" s="20">
        <v>15</v>
      </c>
      <c r="E230" s="20">
        <v>20</v>
      </c>
      <c r="F230" s="20">
        <v>9</v>
      </c>
      <c r="G230" s="20"/>
      <c r="H230" s="20"/>
      <c r="I230" s="20"/>
      <c r="J230" s="20"/>
      <c r="K230" s="20">
        <v>566</v>
      </c>
      <c r="L230" s="20"/>
      <c r="M230" s="20"/>
      <c r="N230" s="17"/>
      <c r="O230" s="21" t="s">
        <v>372</v>
      </c>
      <c r="P230" s="20"/>
      <c r="Q230" s="20"/>
      <c r="R230" s="20"/>
      <c r="S230" s="20">
        <v>4</v>
      </c>
      <c r="T230" s="20"/>
      <c r="U230" s="20">
        <v>20</v>
      </c>
      <c r="V230" s="20"/>
      <c r="W230" s="20"/>
      <c r="X230" s="20"/>
      <c r="Y230" s="20"/>
      <c r="Z230" s="20"/>
      <c r="AA230" s="20"/>
      <c r="AB230" s="17"/>
      <c r="AC230" s="17"/>
      <c r="AD230" s="17"/>
      <c r="AE230" s="17"/>
      <c r="AF230" s="17"/>
      <c r="AG230" s="17"/>
      <c r="AH230" s="17"/>
      <c r="AI230" s="17"/>
      <c r="AJ230" s="17"/>
      <c r="AK230" s="17"/>
      <c r="AL230" s="17"/>
      <c r="AM230" s="17"/>
      <c r="AN230" s="17"/>
      <c r="AO230" s="17"/>
      <c r="AP230" s="17"/>
      <c r="AQ230" s="17"/>
      <c r="AR230" s="17"/>
      <c r="AS230" s="17"/>
      <c r="AT230" s="17"/>
      <c r="AU230" s="17"/>
      <c r="AV230" s="17"/>
      <c r="AW230" s="17"/>
      <c r="AX230" s="17"/>
      <c r="AY230" s="17"/>
    </row>
    <row r="231" spans="1:51" x14ac:dyDescent="0.2">
      <c r="A231" s="21" t="s">
        <v>251</v>
      </c>
      <c r="B231" s="20"/>
      <c r="C231" s="20"/>
      <c r="D231" s="20">
        <f>IF(Patch&lt;10,0,29)</f>
        <v>29</v>
      </c>
      <c r="E231" s="20">
        <f>IF(Patch&lt;10,0,12)</f>
        <v>12</v>
      </c>
      <c r="F231" s="20"/>
      <c r="G231" s="20"/>
      <c r="H231" s="20"/>
      <c r="I231" s="20"/>
      <c r="J231" s="20"/>
      <c r="K231" s="20">
        <f>IF(Patch&lt;10,785,548)</f>
        <v>548</v>
      </c>
      <c r="L231" s="20"/>
      <c r="M231" s="20"/>
      <c r="N231" s="17"/>
      <c r="O231" s="21" t="s">
        <v>368</v>
      </c>
      <c r="P231" s="20"/>
      <c r="Q231" s="20"/>
      <c r="R231" s="20"/>
      <c r="S231" s="20">
        <v>8</v>
      </c>
      <c r="T231" s="20">
        <v>11</v>
      </c>
      <c r="U231" s="20"/>
      <c r="V231" s="20"/>
      <c r="W231" s="20"/>
      <c r="X231" s="20"/>
      <c r="Y231" s="20"/>
      <c r="Z231" s="20"/>
      <c r="AA231" s="20"/>
      <c r="AB231" s="17"/>
      <c r="AC231" s="17"/>
      <c r="AD231" s="17"/>
      <c r="AE231" s="17"/>
      <c r="AF231" s="17"/>
      <c r="AG231" s="17"/>
      <c r="AH231" s="17"/>
      <c r="AI231" s="17"/>
      <c r="AJ231" s="17"/>
      <c r="AK231" s="17"/>
      <c r="AL231" s="17"/>
      <c r="AM231" s="17"/>
      <c r="AN231" s="17"/>
      <c r="AO231" s="17"/>
      <c r="AP231" s="17"/>
      <c r="AQ231" s="17"/>
      <c r="AR231" s="17"/>
      <c r="AS231" s="17"/>
      <c r="AT231" s="17"/>
      <c r="AU231" s="17"/>
      <c r="AV231" s="17"/>
      <c r="AW231" s="17"/>
      <c r="AX231" s="17"/>
      <c r="AY231" s="17"/>
    </row>
    <row r="232" spans="1:51" x14ac:dyDescent="0.2">
      <c r="A232" s="21" t="s">
        <v>401</v>
      </c>
      <c r="B232" s="20">
        <v>2</v>
      </c>
      <c r="C232" s="20"/>
      <c r="D232" s="20">
        <v>15</v>
      </c>
      <c r="E232" s="20">
        <v>23</v>
      </c>
      <c r="F232" s="20">
        <v>31</v>
      </c>
      <c r="G232" s="20"/>
      <c r="H232" s="20"/>
      <c r="I232" s="20"/>
      <c r="J232" s="20"/>
      <c r="K232" s="20">
        <v>211</v>
      </c>
      <c r="L232" s="20"/>
      <c r="M232" s="20"/>
      <c r="N232" s="17"/>
      <c r="O232" s="21" t="s">
        <v>658</v>
      </c>
      <c r="P232" s="20">
        <v>1</v>
      </c>
      <c r="Q232" s="20"/>
      <c r="R232" s="20"/>
      <c r="S232" s="20">
        <v>6</v>
      </c>
      <c r="T232" s="20"/>
      <c r="U232" s="20">
        <v>16</v>
      </c>
      <c r="V232" s="20"/>
      <c r="W232" s="20"/>
      <c r="X232" s="20"/>
      <c r="Y232" s="20"/>
      <c r="Z232" s="20"/>
      <c r="AA232" s="20"/>
      <c r="AB232" s="17"/>
      <c r="AC232" s="17"/>
      <c r="AD232" s="17"/>
      <c r="AE232" s="17"/>
      <c r="AF232" s="17"/>
      <c r="AG232" s="17"/>
      <c r="AH232" s="17"/>
      <c r="AI232" s="17"/>
      <c r="AJ232" s="17"/>
      <c r="AK232" s="17"/>
      <c r="AL232" s="17"/>
      <c r="AM232" s="17"/>
      <c r="AN232" s="17"/>
      <c r="AO232" s="17"/>
      <c r="AP232" s="17"/>
      <c r="AQ232" s="17"/>
      <c r="AR232" s="17"/>
      <c r="AS232" s="17"/>
      <c r="AT232" s="17"/>
      <c r="AU232" s="17"/>
      <c r="AV232" s="17"/>
      <c r="AW232" s="17"/>
      <c r="AX232" s="17"/>
      <c r="AY232" s="17"/>
    </row>
    <row r="233" spans="1:51" x14ac:dyDescent="0.2">
      <c r="A233" s="21" t="s">
        <v>244</v>
      </c>
      <c r="B233" s="20"/>
      <c r="C233" s="20"/>
      <c r="D233" s="20">
        <v>28</v>
      </c>
      <c r="E233" s="20">
        <v>22</v>
      </c>
      <c r="F233" s="20">
        <v>22</v>
      </c>
      <c r="G233" s="20"/>
      <c r="H233" s="20"/>
      <c r="I233" s="20"/>
      <c r="J233" s="20"/>
      <c r="K233" s="20">
        <v>740</v>
      </c>
      <c r="L233" s="20"/>
      <c r="M233" s="20"/>
      <c r="N233" s="17"/>
      <c r="O233" s="21" t="s">
        <v>369</v>
      </c>
      <c r="P233" s="20"/>
      <c r="Q233" s="20"/>
      <c r="R233" s="20"/>
      <c r="S233" s="20">
        <v>10</v>
      </c>
      <c r="T233" s="20">
        <v>4</v>
      </c>
      <c r="U233" s="20"/>
      <c r="V233" s="20"/>
      <c r="W233" s="20"/>
      <c r="X233" s="20"/>
      <c r="Y233" s="20"/>
      <c r="Z233" s="20"/>
      <c r="AA233" s="20"/>
      <c r="AB233" s="17"/>
      <c r="AC233" s="17"/>
      <c r="AD233" s="17"/>
      <c r="AE233" s="17"/>
      <c r="AF233" s="17"/>
      <c r="AG233" s="17"/>
      <c r="AH233" s="17"/>
      <c r="AI233" s="17"/>
      <c r="AJ233" s="17"/>
      <c r="AK233" s="17"/>
      <c r="AL233" s="17"/>
      <c r="AM233" s="17"/>
      <c r="AN233" s="17"/>
      <c r="AO233" s="17"/>
      <c r="AP233" s="17"/>
      <c r="AQ233" s="17"/>
      <c r="AR233" s="17"/>
      <c r="AS233" s="17"/>
      <c r="AT233" s="17"/>
      <c r="AU233" s="17"/>
      <c r="AV233" s="17"/>
      <c r="AW233" s="17"/>
      <c r="AX233" s="17"/>
      <c r="AY233" s="17"/>
    </row>
    <row r="234" spans="1:51" x14ac:dyDescent="0.2">
      <c r="A234" s="21" t="s">
        <v>1184</v>
      </c>
      <c r="B234" s="20">
        <v>2</v>
      </c>
      <c r="C234" s="20"/>
      <c r="D234" s="20">
        <v>42</v>
      </c>
      <c r="E234" s="20">
        <v>18</v>
      </c>
      <c r="F234" s="20"/>
      <c r="G234" s="20"/>
      <c r="H234" s="20"/>
      <c r="I234" s="20"/>
      <c r="J234" s="20"/>
      <c r="K234" s="20">
        <v>815</v>
      </c>
      <c r="L234" s="20"/>
      <c r="M234" s="20"/>
      <c r="N234" s="17"/>
      <c r="O234" s="21" t="s">
        <v>373</v>
      </c>
      <c r="P234" s="20"/>
      <c r="Q234" s="20"/>
      <c r="R234" s="20"/>
      <c r="S234" s="20"/>
      <c r="T234" s="20"/>
      <c r="U234" s="20">
        <v>22</v>
      </c>
      <c r="V234" s="20"/>
      <c r="W234" s="20"/>
      <c r="X234" s="20"/>
      <c r="Y234" s="20"/>
      <c r="Z234" s="20"/>
      <c r="AA234" s="20"/>
      <c r="AB234" s="17"/>
      <c r="AC234" s="17"/>
      <c r="AD234" s="17"/>
      <c r="AE234" s="17"/>
      <c r="AF234" s="17"/>
      <c r="AG234" s="17"/>
      <c r="AH234" s="17"/>
      <c r="AI234" s="17"/>
      <c r="AJ234" s="17"/>
      <c r="AK234" s="17"/>
      <c r="AL234" s="17"/>
      <c r="AM234" s="17"/>
      <c r="AN234" s="17"/>
      <c r="AO234" s="17"/>
      <c r="AP234" s="17"/>
      <c r="AQ234" s="17"/>
      <c r="AR234" s="17"/>
      <c r="AS234" s="17"/>
      <c r="AT234" s="17"/>
      <c r="AU234" s="17"/>
      <c r="AV234" s="17"/>
      <c r="AW234" s="17"/>
      <c r="AX234" s="17"/>
      <c r="AY234" s="17"/>
    </row>
    <row r="235" spans="1:51" x14ac:dyDescent="0.2">
      <c r="A235" s="21" t="s">
        <v>248</v>
      </c>
      <c r="B235" s="20"/>
      <c r="C235" s="20"/>
      <c r="D235" s="20">
        <v>25</v>
      </c>
      <c r="E235" s="20">
        <v>16</v>
      </c>
      <c r="F235" s="20">
        <v>11</v>
      </c>
      <c r="G235" s="20"/>
      <c r="H235" s="20"/>
      <c r="I235" s="20"/>
      <c r="J235" s="20">
        <v>5</v>
      </c>
      <c r="K235" s="20">
        <v>601</v>
      </c>
      <c r="L235" s="20"/>
      <c r="M235" s="20"/>
      <c r="N235" s="17"/>
      <c r="O235" s="21" t="s">
        <v>374</v>
      </c>
      <c r="P235" s="20"/>
      <c r="Q235" s="20">
        <v>1</v>
      </c>
      <c r="R235" s="20"/>
      <c r="S235" s="20"/>
      <c r="T235" s="20">
        <f>IF(Patch&lt;10,7,3)</f>
        <v>3</v>
      </c>
      <c r="U235" s="20"/>
      <c r="V235" s="20"/>
      <c r="W235" s="20"/>
      <c r="X235" s="20"/>
      <c r="Y235" s="20"/>
      <c r="Z235" s="20"/>
      <c r="AA235" s="20"/>
      <c r="AB235" s="17"/>
      <c r="AC235" s="17"/>
      <c r="AD235" s="17"/>
      <c r="AE235" s="17"/>
      <c r="AF235" s="17"/>
      <c r="AG235" s="17"/>
      <c r="AH235" s="17"/>
      <c r="AI235" s="17"/>
      <c r="AJ235" s="17"/>
      <c r="AK235" s="17"/>
      <c r="AL235" s="17"/>
      <c r="AM235" s="17"/>
      <c r="AN235" s="17"/>
      <c r="AO235" s="17"/>
      <c r="AP235" s="17"/>
      <c r="AQ235" s="17"/>
      <c r="AR235" s="17"/>
      <c r="AS235" s="17"/>
      <c r="AT235" s="17"/>
      <c r="AU235" s="17"/>
      <c r="AV235" s="17"/>
      <c r="AW235" s="17"/>
      <c r="AX235" s="17"/>
      <c r="AY235" s="17"/>
    </row>
    <row r="236" spans="1:51" x14ac:dyDescent="0.2">
      <c r="A236" s="21" t="s">
        <v>247</v>
      </c>
      <c r="B236" s="20"/>
      <c r="C236" s="20"/>
      <c r="D236" s="20">
        <v>24</v>
      </c>
      <c r="E236" s="20">
        <v>23</v>
      </c>
      <c r="F236" s="20">
        <f>IF(Patch&lt;5,12,0)</f>
        <v>0</v>
      </c>
      <c r="G236" s="20"/>
      <c r="H236" s="20"/>
      <c r="I236" s="20">
        <v>1</v>
      </c>
      <c r="J236" s="20">
        <f>IF(Patch&lt;5,0,IF(Patch&lt;7,10,7))</f>
        <v>7</v>
      </c>
      <c r="K236" s="20">
        <v>655</v>
      </c>
      <c r="L236" s="20"/>
      <c r="M236" s="20"/>
      <c r="N236" s="17"/>
      <c r="O236" s="44" t="s">
        <v>36</v>
      </c>
      <c r="P236" s="49"/>
      <c r="Q236" s="49">
        <v>1</v>
      </c>
      <c r="R236" s="49"/>
      <c r="S236" s="49"/>
      <c r="T236" s="49"/>
      <c r="U236" s="49">
        <f>IF(Patch&lt;4,20,22)</f>
        <v>22</v>
      </c>
      <c r="V236" s="49"/>
      <c r="W236" s="49"/>
      <c r="X236" s="49"/>
      <c r="Y236" s="49"/>
      <c r="Z236" s="49"/>
      <c r="AA236" s="49"/>
      <c r="AB236" s="17"/>
      <c r="AC236" s="17"/>
      <c r="AD236" s="17"/>
      <c r="AE236" s="17"/>
      <c r="AF236" s="17"/>
      <c r="AG236" s="17"/>
      <c r="AH236" s="17"/>
      <c r="AI236" s="17"/>
      <c r="AJ236" s="17"/>
      <c r="AK236" s="17"/>
      <c r="AL236" s="17"/>
      <c r="AM236" s="17"/>
      <c r="AN236" s="17"/>
      <c r="AO236" s="17"/>
      <c r="AP236" s="17"/>
      <c r="AQ236" s="17"/>
      <c r="AR236" s="17"/>
      <c r="AS236" s="17"/>
      <c r="AT236" s="17"/>
      <c r="AU236" s="17"/>
      <c r="AV236" s="17"/>
      <c r="AW236" s="17"/>
      <c r="AX236" s="17"/>
      <c r="AY236" s="17"/>
    </row>
    <row r="237" spans="1:51" x14ac:dyDescent="0.2">
      <c r="A237" s="21" t="s">
        <v>245</v>
      </c>
      <c r="B237" s="20">
        <v>2</v>
      </c>
      <c r="C237" s="20"/>
      <c r="D237" s="20">
        <v>20</v>
      </c>
      <c r="E237" s="20">
        <v>13</v>
      </c>
      <c r="F237" s="20"/>
      <c r="G237" s="20"/>
      <c r="H237" s="20"/>
      <c r="I237" s="20"/>
      <c r="J237" s="20"/>
      <c r="K237" s="20">
        <v>644</v>
      </c>
      <c r="L237" s="20"/>
      <c r="M237" s="20"/>
      <c r="N237" s="17"/>
      <c r="O237" s="43" t="s">
        <v>1026</v>
      </c>
      <c r="P237" s="31"/>
      <c r="Q237" s="31"/>
      <c r="R237" s="31"/>
      <c r="S237" s="31"/>
      <c r="T237" s="31"/>
      <c r="U237" s="31"/>
      <c r="V237" s="31"/>
      <c r="W237" s="31"/>
      <c r="X237" s="31"/>
      <c r="Y237" s="31"/>
      <c r="Z237" s="31"/>
      <c r="AA237" s="32"/>
      <c r="AB237" s="17"/>
      <c r="AC237" s="17"/>
      <c r="AD237" s="17"/>
      <c r="AE237" s="17"/>
      <c r="AF237" s="17"/>
      <c r="AG237" s="17"/>
      <c r="AH237" s="17"/>
      <c r="AI237" s="17"/>
      <c r="AJ237" s="17"/>
      <c r="AK237" s="17"/>
      <c r="AL237" s="17"/>
      <c r="AM237" s="17"/>
      <c r="AN237" s="17"/>
      <c r="AO237" s="17"/>
      <c r="AP237" s="17"/>
      <c r="AQ237" s="17"/>
      <c r="AR237" s="17"/>
      <c r="AS237" s="17"/>
      <c r="AT237" s="17"/>
      <c r="AU237" s="17"/>
      <c r="AV237" s="17"/>
      <c r="AW237" s="17"/>
      <c r="AX237" s="17"/>
      <c r="AY237" s="17"/>
    </row>
    <row r="238" spans="1:51" x14ac:dyDescent="0.2">
      <c r="A238" s="21" t="s">
        <v>802</v>
      </c>
      <c r="B238" s="20"/>
      <c r="C238" s="20"/>
      <c r="D238" s="20">
        <v>23</v>
      </c>
      <c r="E238" s="20">
        <v>15</v>
      </c>
      <c r="F238" s="20">
        <v>11</v>
      </c>
      <c r="G238" s="20"/>
      <c r="H238" s="20"/>
      <c r="I238" s="20"/>
      <c r="J238" s="20"/>
      <c r="K238" s="20">
        <v>557</v>
      </c>
      <c r="L238" s="20"/>
      <c r="M238" s="20"/>
      <c r="N238" s="17"/>
      <c r="O238" s="33" t="s">
        <v>1028</v>
      </c>
      <c r="P238" s="34"/>
      <c r="Q238" s="34"/>
      <c r="R238" s="34"/>
      <c r="S238" s="34"/>
      <c r="T238" s="34"/>
      <c r="U238" s="34"/>
      <c r="V238" s="34"/>
      <c r="W238" s="34"/>
      <c r="X238" s="34"/>
      <c r="Y238" s="34"/>
      <c r="Z238" s="34"/>
      <c r="AA238" s="35"/>
      <c r="AB238" s="17"/>
      <c r="AC238" s="17"/>
      <c r="AD238" s="17"/>
      <c r="AE238" s="17"/>
      <c r="AF238" s="17"/>
      <c r="AG238" s="17"/>
      <c r="AH238" s="17"/>
      <c r="AI238" s="17"/>
      <c r="AJ238" s="17"/>
      <c r="AK238" s="17"/>
      <c r="AL238" s="17"/>
      <c r="AM238" s="17"/>
      <c r="AN238" s="17"/>
      <c r="AO238" s="17"/>
      <c r="AP238" s="17"/>
      <c r="AQ238" s="17"/>
      <c r="AR238" s="17"/>
      <c r="AS238" s="17"/>
      <c r="AT238" s="17"/>
      <c r="AU238" s="17"/>
      <c r="AV238" s="17"/>
      <c r="AW238" s="17"/>
      <c r="AX238" s="17"/>
      <c r="AY238" s="17"/>
    </row>
    <row r="239" spans="1:51" x14ac:dyDescent="0.2">
      <c r="A239" s="21" t="s">
        <v>243</v>
      </c>
      <c r="B239" s="20"/>
      <c r="C239" s="20"/>
      <c r="D239" s="20">
        <f>IF(Patch&lt;5,36,19)</f>
        <v>19</v>
      </c>
      <c r="E239" s="20">
        <f>IF(Patch&lt;5,23,27)</f>
        <v>27</v>
      </c>
      <c r="F239" s="20">
        <f>IF(Patch&lt;5,11,0)</f>
        <v>0</v>
      </c>
      <c r="G239" s="20"/>
      <c r="H239" s="20">
        <f>IF(Patch&lt;5,1,2)</f>
        <v>2</v>
      </c>
      <c r="I239" s="20"/>
      <c r="J239" s="20">
        <f>IF(Patch&lt;7,16,11)</f>
        <v>11</v>
      </c>
      <c r="K239" s="20">
        <v>749</v>
      </c>
      <c r="L239" s="20"/>
      <c r="M239" s="20"/>
      <c r="N239" s="17"/>
      <c r="O239" s="48" t="s">
        <v>1026</v>
      </c>
      <c r="P239" s="37"/>
      <c r="Q239" s="37"/>
      <c r="R239" s="37"/>
      <c r="S239" s="37"/>
      <c r="T239" s="37"/>
      <c r="U239" s="37"/>
      <c r="V239" s="37"/>
      <c r="W239" s="37"/>
      <c r="X239" s="37"/>
      <c r="Y239" s="37"/>
      <c r="Z239" s="37"/>
      <c r="AA239" s="38"/>
      <c r="AB239" s="17"/>
      <c r="AC239" s="17"/>
      <c r="AD239" s="17"/>
      <c r="AE239" s="17"/>
      <c r="AF239" s="17"/>
      <c r="AG239" s="17"/>
      <c r="AH239" s="17"/>
      <c r="AI239" s="17"/>
      <c r="AJ239" s="17"/>
      <c r="AK239" s="17"/>
      <c r="AL239" s="17"/>
      <c r="AM239" s="17"/>
      <c r="AN239" s="17"/>
      <c r="AO239" s="17"/>
      <c r="AP239" s="17"/>
      <c r="AQ239" s="17"/>
      <c r="AR239" s="17"/>
      <c r="AS239" s="17"/>
      <c r="AT239" s="17"/>
      <c r="AU239" s="17"/>
      <c r="AV239" s="17"/>
      <c r="AW239" s="17"/>
      <c r="AX239" s="17"/>
      <c r="AY239" s="17"/>
    </row>
    <row r="240" spans="1:51" x14ac:dyDescent="0.2">
      <c r="A240" s="21" t="s">
        <v>773</v>
      </c>
      <c r="B240" s="20">
        <v>2</v>
      </c>
      <c r="C240" s="20">
        <v>1</v>
      </c>
      <c r="D240" s="20">
        <f>IF(Patch&lt;10,16,20)</f>
        <v>20</v>
      </c>
      <c r="E240" s="20">
        <f>IF(Patch&lt;10,20,28)</f>
        <v>28</v>
      </c>
      <c r="F240" s="20"/>
      <c r="G240" s="20"/>
      <c r="H240" s="20"/>
      <c r="I240" s="20"/>
      <c r="J240" s="20"/>
      <c r="K240" s="20">
        <f>IF(Patch&lt;10,646,743)</f>
        <v>743</v>
      </c>
      <c r="L240" s="20"/>
      <c r="M240" s="20"/>
      <c r="N240" s="17"/>
      <c r="O240" s="46" t="s">
        <v>380</v>
      </c>
      <c r="P240" s="47"/>
      <c r="Q240" s="47">
        <v>1</v>
      </c>
      <c r="R240" s="47"/>
      <c r="S240" s="47"/>
      <c r="T240" s="47"/>
      <c r="U240" s="47"/>
      <c r="V240" s="47"/>
      <c r="W240" s="47"/>
      <c r="X240" s="47"/>
      <c r="Y240" s="47"/>
      <c r="Z240" s="47"/>
      <c r="AA240" s="47"/>
      <c r="AB240" s="17"/>
      <c r="AC240" s="17"/>
      <c r="AD240" s="17"/>
      <c r="AE240" s="17"/>
      <c r="AF240" s="17"/>
      <c r="AG240" s="17"/>
      <c r="AH240" s="17"/>
      <c r="AI240" s="17"/>
      <c r="AJ240" s="17"/>
      <c r="AK240" s="17"/>
      <c r="AL240" s="17"/>
      <c r="AM240" s="17"/>
      <c r="AN240" s="17"/>
      <c r="AO240" s="17"/>
      <c r="AP240" s="17"/>
      <c r="AQ240" s="17"/>
      <c r="AR240" s="17"/>
      <c r="AS240" s="17"/>
      <c r="AT240" s="17"/>
      <c r="AU240" s="17"/>
      <c r="AV240" s="17"/>
      <c r="AW240" s="17"/>
      <c r="AX240" s="17"/>
      <c r="AY240" s="17"/>
    </row>
    <row r="241" spans="1:51" x14ac:dyDescent="0.2">
      <c r="A241" s="21" t="s">
        <v>774</v>
      </c>
      <c r="B241" s="20">
        <v>2</v>
      </c>
      <c r="C241" s="20"/>
      <c r="D241" s="20">
        <f>IF(Patch&lt;9,7,12)</f>
        <v>12</v>
      </c>
      <c r="E241" s="20">
        <f>IF(Patch&lt;9,13,17)</f>
        <v>17</v>
      </c>
      <c r="F241" s="20"/>
      <c r="G241" s="20"/>
      <c r="H241" s="20"/>
      <c r="I241" s="20"/>
      <c r="J241" s="20"/>
      <c r="K241" s="20">
        <f>IF(Patch&lt;9,575,618)</f>
        <v>618</v>
      </c>
      <c r="L241" s="20"/>
      <c r="M241" s="20"/>
      <c r="N241" s="17"/>
      <c r="O241" s="21" t="s">
        <v>378</v>
      </c>
      <c r="P241" s="20"/>
      <c r="Q241" s="20"/>
      <c r="R241" s="20">
        <v>8</v>
      </c>
      <c r="S241" s="20"/>
      <c r="T241" s="20">
        <v>7</v>
      </c>
      <c r="U241" s="20"/>
      <c r="V241" s="20"/>
      <c r="W241" s="20"/>
      <c r="X241" s="20"/>
      <c r="Y241" s="20"/>
      <c r="Z241" s="20"/>
      <c r="AA241" s="20"/>
      <c r="AB241" s="17"/>
      <c r="AC241" s="17"/>
      <c r="AD241" s="17"/>
      <c r="AE241" s="17"/>
      <c r="AF241" s="17"/>
      <c r="AG241" s="17"/>
      <c r="AH241" s="17"/>
      <c r="AI241" s="17"/>
      <c r="AJ241" s="17"/>
      <c r="AK241" s="17"/>
      <c r="AL241" s="17"/>
      <c r="AM241" s="17"/>
      <c r="AN241" s="17"/>
      <c r="AO241" s="17"/>
      <c r="AP241" s="17"/>
      <c r="AQ241" s="17"/>
      <c r="AR241" s="17"/>
      <c r="AS241" s="17"/>
      <c r="AT241" s="17"/>
      <c r="AU241" s="17"/>
      <c r="AV241" s="17"/>
      <c r="AW241" s="17"/>
      <c r="AX241" s="17"/>
      <c r="AY241" s="17"/>
    </row>
    <row r="242" spans="1:51" x14ac:dyDescent="0.2">
      <c r="A242" s="21" t="s">
        <v>253</v>
      </c>
      <c r="B242" s="20">
        <v>2</v>
      </c>
      <c r="C242" s="20"/>
      <c r="D242" s="20"/>
      <c r="E242" s="20">
        <v>23</v>
      </c>
      <c r="F242" s="20"/>
      <c r="G242" s="20">
        <v>62</v>
      </c>
      <c r="H242" s="20"/>
      <c r="I242" s="20"/>
      <c r="J242" s="20"/>
      <c r="K242" s="20">
        <v>427</v>
      </c>
      <c r="L242" s="20"/>
      <c r="M242" s="20"/>
      <c r="N242" s="17"/>
      <c r="O242" s="21" t="s">
        <v>379</v>
      </c>
      <c r="P242" s="20"/>
      <c r="Q242" s="20"/>
      <c r="R242" s="20"/>
      <c r="S242" s="20">
        <v>9</v>
      </c>
      <c r="T242" s="20">
        <v>4</v>
      </c>
      <c r="U242" s="20"/>
      <c r="V242" s="20"/>
      <c r="W242" s="20"/>
      <c r="X242" s="20"/>
      <c r="Y242" s="20"/>
      <c r="Z242" s="20"/>
      <c r="AA242" s="20"/>
      <c r="AB242" s="17"/>
      <c r="AC242" s="17"/>
      <c r="AD242" s="17"/>
      <c r="AE242" s="17"/>
      <c r="AF242" s="17"/>
      <c r="AG242" s="17"/>
      <c r="AH242" s="17"/>
      <c r="AI242" s="17"/>
      <c r="AJ242" s="17"/>
      <c r="AK242" s="17"/>
      <c r="AL242" s="17"/>
      <c r="AM242" s="17"/>
      <c r="AN242" s="17"/>
      <c r="AO242" s="17"/>
      <c r="AP242" s="17"/>
      <c r="AQ242" s="17"/>
      <c r="AR242" s="17"/>
      <c r="AS242" s="17"/>
      <c r="AT242" s="17"/>
      <c r="AU242" s="17"/>
      <c r="AV242" s="17"/>
      <c r="AW242" s="17"/>
      <c r="AX242" s="17"/>
      <c r="AY242" s="17"/>
    </row>
    <row r="243" spans="1:51" x14ac:dyDescent="0.2">
      <c r="A243" s="21" t="s">
        <v>475</v>
      </c>
      <c r="B243" s="20">
        <v>1</v>
      </c>
      <c r="C243" s="20">
        <v>1</v>
      </c>
      <c r="D243" s="20">
        <v>28</v>
      </c>
      <c r="E243" s="20">
        <v>27</v>
      </c>
      <c r="F243" s="20"/>
      <c r="G243" s="20"/>
      <c r="H243" s="20"/>
      <c r="I243" s="20"/>
      <c r="J243" s="20"/>
      <c r="K243" s="20">
        <v>646</v>
      </c>
      <c r="L243" s="20"/>
      <c r="M243" s="20"/>
      <c r="N243" s="17"/>
      <c r="O243" s="21" t="s">
        <v>375</v>
      </c>
      <c r="P243" s="20"/>
      <c r="Q243" s="20">
        <v>1</v>
      </c>
      <c r="R243" s="20">
        <v>5</v>
      </c>
      <c r="S243" s="20">
        <v>5</v>
      </c>
      <c r="T243" s="20">
        <v>7</v>
      </c>
      <c r="U243" s="20"/>
      <c r="V243" s="20"/>
      <c r="W243" s="20"/>
      <c r="X243" s="20"/>
      <c r="Y243" s="20"/>
      <c r="Z243" s="20"/>
      <c r="AA243" s="20"/>
      <c r="AB243" s="17"/>
      <c r="AC243" s="17"/>
      <c r="AD243" s="17"/>
      <c r="AE243" s="17"/>
      <c r="AF243" s="17"/>
      <c r="AG243" s="17"/>
      <c r="AH243" s="17"/>
      <c r="AI243" s="17"/>
      <c r="AJ243" s="17"/>
      <c r="AK243" s="17"/>
      <c r="AL243" s="17"/>
      <c r="AM243" s="17"/>
      <c r="AN243" s="17"/>
      <c r="AO243" s="17"/>
      <c r="AP243" s="17"/>
      <c r="AQ243" s="17"/>
      <c r="AR243" s="17"/>
      <c r="AS243" s="17"/>
      <c r="AT243" s="17"/>
      <c r="AU243" s="17"/>
      <c r="AV243" s="17"/>
      <c r="AW243" s="17"/>
      <c r="AX243" s="17"/>
      <c r="AY243" s="17"/>
    </row>
    <row r="244" spans="1:51" x14ac:dyDescent="0.2">
      <c r="A244" s="21" t="s">
        <v>1183</v>
      </c>
      <c r="B244" s="20">
        <v>1</v>
      </c>
      <c r="C244" s="20">
        <v>2</v>
      </c>
      <c r="D244" s="20">
        <v>30</v>
      </c>
      <c r="E244" s="20"/>
      <c r="F244" s="20"/>
      <c r="G244" s="20"/>
      <c r="H244" s="20"/>
      <c r="I244" s="20"/>
      <c r="J244" s="20"/>
      <c r="K244" s="20">
        <v>598</v>
      </c>
      <c r="L244" s="20"/>
      <c r="M244" s="20"/>
      <c r="N244" s="17"/>
      <c r="O244" s="21" t="s">
        <v>377</v>
      </c>
      <c r="P244" s="20"/>
      <c r="Q244" s="20">
        <v>1</v>
      </c>
      <c r="R244" s="20"/>
      <c r="S244" s="20"/>
      <c r="T244" s="20">
        <v>4</v>
      </c>
      <c r="U244" s="20"/>
      <c r="V244" s="20"/>
      <c r="W244" s="20"/>
      <c r="X244" s="20"/>
      <c r="Y244" s="20"/>
      <c r="Z244" s="20"/>
      <c r="AA244" s="20"/>
      <c r="AB244" s="17"/>
      <c r="AC244" s="17"/>
      <c r="AD244" s="17"/>
      <c r="AE244" s="17"/>
      <c r="AF244" s="17"/>
      <c r="AG244" s="17"/>
      <c r="AH244" s="17"/>
      <c r="AI244" s="17"/>
      <c r="AJ244" s="17"/>
      <c r="AK244" s="17"/>
      <c r="AL244" s="17"/>
      <c r="AM244" s="17"/>
      <c r="AN244" s="17"/>
      <c r="AO244" s="17"/>
      <c r="AP244" s="17"/>
      <c r="AQ244" s="17"/>
      <c r="AR244" s="17"/>
      <c r="AS244" s="17"/>
      <c r="AT244" s="17"/>
      <c r="AU244" s="17"/>
      <c r="AV244" s="17"/>
      <c r="AW244" s="17"/>
      <c r="AX244" s="17"/>
      <c r="AY244" s="17"/>
    </row>
    <row r="245" spans="1:51" x14ac:dyDescent="0.2">
      <c r="A245" s="24"/>
      <c r="B245" s="23"/>
      <c r="C245" s="23"/>
      <c r="D245" s="23"/>
      <c r="E245" s="23"/>
      <c r="F245" s="23"/>
      <c r="G245" s="23"/>
      <c r="H245" s="23"/>
      <c r="I245" s="23"/>
      <c r="J245" s="23"/>
      <c r="K245" s="23"/>
      <c r="L245" s="23"/>
      <c r="M245" s="23"/>
      <c r="N245" s="17"/>
      <c r="O245" s="21" t="s">
        <v>381</v>
      </c>
      <c r="P245" s="20"/>
      <c r="Q245" s="20"/>
      <c r="R245" s="20"/>
      <c r="S245" s="20">
        <v>4</v>
      </c>
      <c r="T245" s="20">
        <v>9</v>
      </c>
      <c r="U245" s="20"/>
      <c r="V245" s="20"/>
      <c r="W245" s="20"/>
      <c r="X245" s="20"/>
      <c r="Y245" s="20"/>
      <c r="Z245" s="20"/>
      <c r="AA245" s="20"/>
      <c r="AB245" s="17"/>
      <c r="AC245" s="17"/>
      <c r="AD245" s="17"/>
      <c r="AE245" s="17"/>
      <c r="AF245" s="17"/>
      <c r="AG245" s="17"/>
      <c r="AH245" s="17"/>
      <c r="AI245" s="17"/>
      <c r="AJ245" s="17"/>
      <c r="AK245" s="17"/>
      <c r="AL245" s="17"/>
      <c r="AM245" s="17"/>
      <c r="AN245" s="17"/>
      <c r="AO245" s="17"/>
      <c r="AP245" s="17"/>
      <c r="AQ245" s="17"/>
      <c r="AR245" s="17"/>
      <c r="AS245" s="17"/>
      <c r="AT245" s="17"/>
      <c r="AU245" s="17"/>
      <c r="AV245" s="17"/>
      <c r="AW245" s="17"/>
      <c r="AX245" s="17"/>
      <c r="AY245" s="17"/>
    </row>
    <row r="246" spans="1:51" x14ac:dyDescent="0.2">
      <c r="A246" s="24"/>
      <c r="B246" s="23"/>
      <c r="C246" s="23"/>
      <c r="D246" s="23"/>
      <c r="E246" s="23"/>
      <c r="F246" s="23"/>
      <c r="G246" s="23"/>
      <c r="H246" s="23"/>
      <c r="I246" s="23"/>
      <c r="J246" s="23"/>
      <c r="K246" s="23"/>
      <c r="L246" s="23"/>
      <c r="M246" s="23"/>
      <c r="N246" s="17"/>
      <c r="O246" s="21" t="s">
        <v>1179</v>
      </c>
      <c r="P246" s="20">
        <v>1</v>
      </c>
      <c r="Q246" s="20"/>
      <c r="R246" s="20"/>
      <c r="S246" s="20"/>
      <c r="T246" s="20"/>
      <c r="U246" s="20">
        <v>24</v>
      </c>
      <c r="V246" s="20"/>
      <c r="W246" s="20"/>
      <c r="X246" s="20"/>
      <c r="Y246" s="20"/>
      <c r="Z246" s="20"/>
      <c r="AA246" s="20"/>
      <c r="AB246" s="17"/>
      <c r="AC246" s="17"/>
      <c r="AD246" s="17"/>
      <c r="AE246" s="17"/>
      <c r="AF246" s="17"/>
      <c r="AG246" s="17"/>
      <c r="AH246" s="17"/>
      <c r="AI246" s="17"/>
      <c r="AJ246" s="17"/>
      <c r="AK246" s="17"/>
      <c r="AL246" s="17"/>
      <c r="AM246" s="17"/>
      <c r="AN246" s="17"/>
      <c r="AO246" s="17"/>
      <c r="AP246" s="17"/>
      <c r="AQ246" s="17"/>
      <c r="AR246" s="17"/>
      <c r="AS246" s="17"/>
      <c r="AT246" s="17"/>
      <c r="AU246" s="17"/>
      <c r="AV246" s="17"/>
      <c r="AW246" s="17"/>
      <c r="AX246" s="17"/>
      <c r="AY246" s="17"/>
    </row>
    <row r="247" spans="1:51" x14ac:dyDescent="0.2">
      <c r="A247" s="17"/>
      <c r="B247" s="17"/>
      <c r="C247" s="17"/>
      <c r="D247" s="17"/>
      <c r="E247" s="17"/>
      <c r="F247" s="17"/>
      <c r="G247" s="17"/>
      <c r="H247" s="17"/>
      <c r="I247" s="17"/>
      <c r="J247" s="17"/>
      <c r="K247" s="17"/>
      <c r="L247" s="17"/>
      <c r="M247" s="17"/>
      <c r="N247" s="17"/>
      <c r="O247" s="21" t="s">
        <v>376</v>
      </c>
      <c r="P247" s="20"/>
      <c r="Q247" s="20"/>
      <c r="R247" s="20"/>
      <c r="S247" s="20">
        <v>5</v>
      </c>
      <c r="T247" s="20"/>
      <c r="U247" s="20">
        <v>24</v>
      </c>
      <c r="V247" s="20"/>
      <c r="W247" s="20"/>
      <c r="X247" s="20"/>
      <c r="Y247" s="20"/>
      <c r="Z247" s="20"/>
      <c r="AA247" s="20"/>
      <c r="AB247" s="17"/>
      <c r="AC247" s="17"/>
      <c r="AD247" s="17"/>
      <c r="AE247" s="17"/>
      <c r="AF247" s="17"/>
      <c r="AG247" s="17"/>
      <c r="AH247" s="17"/>
      <c r="AI247" s="17"/>
      <c r="AJ247" s="17"/>
      <c r="AK247" s="17"/>
      <c r="AL247" s="17"/>
      <c r="AM247" s="17"/>
      <c r="AN247" s="17"/>
      <c r="AO247" s="17"/>
      <c r="AP247" s="17"/>
      <c r="AQ247" s="17"/>
      <c r="AR247" s="17"/>
      <c r="AS247" s="17"/>
      <c r="AT247" s="17"/>
      <c r="AU247" s="17"/>
      <c r="AV247" s="17"/>
      <c r="AW247" s="17"/>
      <c r="AX247" s="17"/>
      <c r="AY247" s="17"/>
    </row>
    <row r="248" spans="1:51" x14ac:dyDescent="0.2">
      <c r="A248" s="17"/>
      <c r="B248" s="17"/>
      <c r="C248" s="17"/>
      <c r="D248" s="17"/>
      <c r="E248" s="17"/>
      <c r="F248" s="17"/>
      <c r="G248" s="17"/>
      <c r="H248" s="17"/>
      <c r="I248" s="17"/>
      <c r="J248" s="17"/>
      <c r="K248" s="17"/>
      <c r="L248" s="17"/>
      <c r="M248" s="17"/>
      <c r="N248" s="17"/>
      <c r="O248" s="44" t="s">
        <v>610</v>
      </c>
      <c r="P248" s="49"/>
      <c r="Q248" s="49"/>
      <c r="R248" s="49">
        <v>3</v>
      </c>
      <c r="S248" s="49"/>
      <c r="T248" s="49"/>
      <c r="U248" s="49">
        <v>14</v>
      </c>
      <c r="V248" s="49"/>
      <c r="W248" s="49"/>
      <c r="X248" s="49"/>
      <c r="Y248" s="49"/>
      <c r="Z248" s="49"/>
      <c r="AA248" s="49"/>
      <c r="AB248" s="17"/>
      <c r="AC248" s="17"/>
      <c r="AD248" s="17"/>
      <c r="AE248" s="17"/>
      <c r="AF248" s="17"/>
      <c r="AG248" s="17"/>
      <c r="AH248" s="17"/>
      <c r="AI248" s="17"/>
      <c r="AJ248" s="17"/>
      <c r="AK248" s="17"/>
      <c r="AL248" s="17"/>
      <c r="AM248" s="17"/>
      <c r="AN248" s="17"/>
      <c r="AO248" s="17"/>
      <c r="AP248" s="17"/>
      <c r="AQ248" s="17"/>
      <c r="AR248" s="17"/>
      <c r="AS248" s="17"/>
      <c r="AT248" s="17"/>
      <c r="AU248" s="17"/>
      <c r="AV248" s="17"/>
      <c r="AW248" s="17"/>
      <c r="AX248" s="17"/>
      <c r="AY248" s="17"/>
    </row>
    <row r="249" spans="1:51" ht="12.75" customHeight="1" x14ac:dyDescent="0.2">
      <c r="A249" s="171" t="s">
        <v>24</v>
      </c>
      <c r="B249" s="171"/>
      <c r="C249" s="171"/>
      <c r="D249" s="171"/>
      <c r="E249" s="171"/>
      <c r="F249" s="171"/>
      <c r="G249" s="171"/>
      <c r="H249" s="171"/>
      <c r="I249" s="171"/>
      <c r="J249" s="171"/>
      <c r="K249" s="171"/>
      <c r="L249" s="171"/>
      <c r="M249" s="171"/>
      <c r="N249" s="17"/>
      <c r="O249" s="43" t="s">
        <v>1026</v>
      </c>
      <c r="P249" s="31"/>
      <c r="Q249" s="31"/>
      <c r="R249" s="31"/>
      <c r="S249" s="31"/>
      <c r="T249" s="31"/>
      <c r="U249" s="31"/>
      <c r="V249" s="31"/>
      <c r="W249" s="31"/>
      <c r="X249" s="31"/>
      <c r="Y249" s="31"/>
      <c r="Z249" s="31"/>
      <c r="AA249" s="32"/>
      <c r="AB249" s="17"/>
      <c r="AC249" s="17"/>
      <c r="AD249" s="17"/>
      <c r="AE249" s="17"/>
      <c r="AF249" s="17"/>
      <c r="AG249" s="17"/>
      <c r="AH249" s="17"/>
      <c r="AI249" s="17"/>
      <c r="AJ249" s="17"/>
      <c r="AK249" s="17"/>
      <c r="AL249" s="17"/>
      <c r="AM249" s="17"/>
      <c r="AN249" s="17"/>
      <c r="AO249" s="17"/>
      <c r="AP249" s="17"/>
      <c r="AQ249" s="17"/>
      <c r="AR249" s="17"/>
      <c r="AS249" s="17"/>
      <c r="AT249" s="17"/>
      <c r="AU249" s="17"/>
      <c r="AV249" s="17"/>
      <c r="AW249" s="17"/>
      <c r="AX249" s="17"/>
      <c r="AY249" s="17"/>
    </row>
    <row r="250" spans="1:51" ht="12.75" customHeight="1" x14ac:dyDescent="0.2">
      <c r="A250" s="172"/>
      <c r="B250" s="172"/>
      <c r="C250" s="172"/>
      <c r="D250" s="172"/>
      <c r="E250" s="172"/>
      <c r="F250" s="172"/>
      <c r="G250" s="172"/>
      <c r="H250" s="172"/>
      <c r="I250" s="172"/>
      <c r="J250" s="172"/>
      <c r="K250" s="172"/>
      <c r="L250" s="172"/>
      <c r="M250" s="172"/>
      <c r="N250" s="17"/>
      <c r="O250" s="33" t="s">
        <v>1029</v>
      </c>
      <c r="P250" s="34"/>
      <c r="Q250" s="34"/>
      <c r="R250" s="34"/>
      <c r="S250" s="34"/>
      <c r="T250" s="34"/>
      <c r="U250" s="34"/>
      <c r="V250" s="34"/>
      <c r="W250" s="34"/>
      <c r="X250" s="34"/>
      <c r="Y250" s="34"/>
      <c r="Z250" s="34"/>
      <c r="AA250" s="35"/>
      <c r="AB250" s="17"/>
      <c r="AC250" s="17"/>
      <c r="AD250" s="17"/>
      <c r="AE250" s="17"/>
      <c r="AF250" s="17"/>
      <c r="AG250" s="17"/>
      <c r="AH250" s="17"/>
      <c r="AI250" s="17"/>
      <c r="AJ250" s="17"/>
      <c r="AK250" s="17"/>
      <c r="AL250" s="17"/>
      <c r="AM250" s="17"/>
      <c r="AN250" s="17"/>
      <c r="AO250" s="17"/>
      <c r="AP250" s="17"/>
      <c r="AQ250" s="17"/>
      <c r="AR250" s="17"/>
      <c r="AS250" s="17"/>
      <c r="AT250" s="17"/>
      <c r="AU250" s="17"/>
      <c r="AV250" s="17"/>
      <c r="AW250" s="17"/>
      <c r="AX250" s="17"/>
      <c r="AY250" s="17"/>
    </row>
    <row r="251" spans="1:51" x14ac:dyDescent="0.2">
      <c r="A251" s="22" t="s">
        <v>0</v>
      </c>
      <c r="B251" s="22" t="s">
        <v>1</v>
      </c>
      <c r="C251" s="22" t="s">
        <v>2</v>
      </c>
      <c r="D251" s="22" t="s">
        <v>3</v>
      </c>
      <c r="E251" s="22" t="s">
        <v>4</v>
      </c>
      <c r="F251" s="22" t="s">
        <v>5</v>
      </c>
      <c r="G251" s="22" t="s">
        <v>6</v>
      </c>
      <c r="H251" s="22" t="s">
        <v>140</v>
      </c>
      <c r="I251" s="22" t="s">
        <v>156</v>
      </c>
      <c r="J251" s="22" t="s">
        <v>157</v>
      </c>
      <c r="K251" s="22" t="s">
        <v>7</v>
      </c>
      <c r="L251" s="22" t="s">
        <v>122</v>
      </c>
      <c r="M251" s="22" t="s">
        <v>1049</v>
      </c>
      <c r="N251" s="17"/>
      <c r="O251" s="48" t="s">
        <v>1026</v>
      </c>
      <c r="P251" s="37"/>
      <c r="Q251" s="37"/>
      <c r="R251" s="37"/>
      <c r="S251" s="37"/>
      <c r="T251" s="37"/>
      <c r="U251" s="37"/>
      <c r="V251" s="37"/>
      <c r="W251" s="37"/>
      <c r="X251" s="37"/>
      <c r="Y251" s="37"/>
      <c r="Z251" s="37"/>
      <c r="AA251" s="38"/>
      <c r="AB251" s="17"/>
      <c r="AC251" s="17"/>
      <c r="AD251" s="17"/>
      <c r="AE251" s="17"/>
      <c r="AF251" s="17"/>
      <c r="AG251" s="17"/>
      <c r="AH251" s="17"/>
      <c r="AI251" s="17"/>
      <c r="AJ251" s="17"/>
      <c r="AK251" s="17"/>
      <c r="AL251" s="17"/>
      <c r="AM251" s="17"/>
      <c r="AN251" s="17"/>
      <c r="AO251" s="17"/>
      <c r="AP251" s="17"/>
      <c r="AQ251" s="17"/>
      <c r="AR251" s="17"/>
      <c r="AS251" s="17"/>
      <c r="AT251" s="17"/>
      <c r="AU251" s="17"/>
      <c r="AV251" s="17"/>
      <c r="AW251" s="17"/>
      <c r="AX251" s="17"/>
      <c r="AY251" s="17"/>
    </row>
    <row r="252" spans="1:51" x14ac:dyDescent="0.2">
      <c r="A252" s="21" t="s">
        <v>393</v>
      </c>
      <c r="B252" s="19"/>
      <c r="C252" s="19"/>
      <c r="D252" s="19"/>
      <c r="E252" s="19"/>
      <c r="F252" s="19"/>
      <c r="G252" s="19"/>
      <c r="H252" s="19"/>
      <c r="I252" s="19"/>
      <c r="J252" s="19"/>
      <c r="K252" s="19"/>
      <c r="L252" s="19"/>
      <c r="M252" s="19"/>
      <c r="N252" s="17"/>
      <c r="O252" s="46" t="s">
        <v>383</v>
      </c>
      <c r="P252" s="47">
        <v>1</v>
      </c>
      <c r="Q252" s="47"/>
      <c r="R252" s="47"/>
      <c r="S252" s="47">
        <f>IF(Patch&lt;4,0,6)</f>
        <v>6</v>
      </c>
      <c r="T252" s="47"/>
      <c r="U252" s="47"/>
      <c r="V252" s="47"/>
      <c r="W252" s="47"/>
      <c r="X252" s="47"/>
      <c r="Y252" s="47"/>
      <c r="Z252" s="47"/>
      <c r="AA252" s="47"/>
      <c r="AB252" s="17"/>
      <c r="AC252" s="17"/>
      <c r="AD252" s="17"/>
      <c r="AE252" s="17"/>
      <c r="AF252" s="17"/>
      <c r="AG252" s="17"/>
      <c r="AH252" s="17"/>
      <c r="AI252" s="17"/>
      <c r="AJ252" s="17"/>
      <c r="AK252" s="17"/>
      <c r="AL252" s="17"/>
      <c r="AM252" s="17"/>
      <c r="AN252" s="17"/>
      <c r="AO252" s="17"/>
      <c r="AP252" s="17"/>
      <c r="AQ252" s="17"/>
      <c r="AR252" s="17"/>
      <c r="AS252" s="17"/>
      <c r="AT252" s="17"/>
      <c r="AU252" s="17"/>
      <c r="AV252" s="17"/>
      <c r="AW252" s="17"/>
      <c r="AX252" s="17"/>
      <c r="AY252" s="17"/>
    </row>
    <row r="253" spans="1:51" x14ac:dyDescent="0.2">
      <c r="A253" s="21" t="s">
        <v>1050</v>
      </c>
      <c r="B253" s="19"/>
      <c r="C253" s="19"/>
      <c r="D253" s="19"/>
      <c r="E253" s="19"/>
      <c r="F253" s="19"/>
      <c r="G253" s="19"/>
      <c r="H253" s="19"/>
      <c r="I253" s="19"/>
      <c r="J253" s="19"/>
      <c r="K253" s="19"/>
      <c r="L253" s="19"/>
      <c r="M253" s="19"/>
      <c r="N253" s="17"/>
      <c r="O253" s="21" t="s">
        <v>388</v>
      </c>
      <c r="P253" s="20"/>
      <c r="Q253" s="20"/>
      <c r="R253" s="20"/>
      <c r="S253" s="20">
        <f>IF(Patch&lt;10,0,8)</f>
        <v>8</v>
      </c>
      <c r="T253" s="20"/>
      <c r="U253" s="20">
        <v>10</v>
      </c>
      <c r="V253" s="20"/>
      <c r="W253" s="20"/>
      <c r="X253" s="20"/>
      <c r="Y253" s="20"/>
      <c r="Z253" s="20"/>
      <c r="AA253" s="20"/>
      <c r="AB253" s="17"/>
      <c r="AC253" s="17"/>
      <c r="AD253" s="17"/>
      <c r="AE253" s="17"/>
      <c r="AF253" s="17"/>
      <c r="AG253" s="17"/>
      <c r="AH253" s="17"/>
      <c r="AI253" s="17"/>
      <c r="AJ253" s="17"/>
      <c r="AK253" s="17"/>
      <c r="AL253" s="17"/>
      <c r="AM253" s="17"/>
      <c r="AN253" s="17"/>
      <c r="AO253" s="17"/>
      <c r="AP253" s="17"/>
      <c r="AQ253" s="17"/>
      <c r="AR253" s="17"/>
      <c r="AS253" s="17"/>
      <c r="AT253" s="17"/>
      <c r="AU253" s="17"/>
      <c r="AV253" s="17"/>
      <c r="AW253" s="17"/>
      <c r="AX253" s="17"/>
      <c r="AY253" s="17"/>
    </row>
    <row r="254" spans="1:51" x14ac:dyDescent="0.2">
      <c r="A254" s="21" t="s">
        <v>798</v>
      </c>
      <c r="B254" s="20"/>
      <c r="C254" s="20"/>
      <c r="D254" s="20">
        <v>14</v>
      </c>
      <c r="E254" s="20">
        <v>12</v>
      </c>
      <c r="F254" s="20">
        <v>12</v>
      </c>
      <c r="G254" s="20"/>
      <c r="H254" s="20"/>
      <c r="I254" s="20"/>
      <c r="J254" s="20"/>
      <c r="K254" s="20">
        <v>452</v>
      </c>
      <c r="L254" s="20"/>
      <c r="M254" s="20"/>
      <c r="N254" s="17"/>
      <c r="O254" s="21" t="s">
        <v>386</v>
      </c>
      <c r="P254" s="20"/>
      <c r="Q254" s="20"/>
      <c r="R254" s="20"/>
      <c r="S254" s="20">
        <v>4</v>
      </c>
      <c r="T254" s="20"/>
      <c r="U254" s="20">
        <v>20</v>
      </c>
      <c r="V254" s="20"/>
      <c r="W254" s="20"/>
      <c r="X254" s="20"/>
      <c r="Y254" s="20"/>
      <c r="Z254" s="20"/>
      <c r="AA254" s="20"/>
      <c r="AB254" s="17"/>
      <c r="AC254" s="17"/>
      <c r="AD254" s="17"/>
      <c r="AE254" s="17"/>
      <c r="AF254" s="17"/>
      <c r="AG254" s="17"/>
      <c r="AH254" s="17"/>
      <c r="AI254" s="17"/>
      <c r="AJ254" s="17"/>
      <c r="AK254" s="17"/>
      <c r="AL254" s="17"/>
      <c r="AM254" s="17"/>
      <c r="AN254" s="17"/>
      <c r="AO254" s="17"/>
      <c r="AP254" s="17"/>
      <c r="AQ254" s="17"/>
      <c r="AR254" s="17"/>
      <c r="AS254" s="17"/>
      <c r="AT254" s="17"/>
      <c r="AU254" s="17"/>
      <c r="AV254" s="17"/>
      <c r="AW254" s="17"/>
      <c r="AX254" s="17"/>
      <c r="AY254" s="17"/>
    </row>
    <row r="255" spans="1:51" x14ac:dyDescent="0.2">
      <c r="A255" s="21" t="s">
        <v>657</v>
      </c>
      <c r="B255" s="20"/>
      <c r="C255" s="20"/>
      <c r="D255" s="20">
        <v>14</v>
      </c>
      <c r="E255" s="20">
        <v>8</v>
      </c>
      <c r="F255" s="20">
        <v>13</v>
      </c>
      <c r="G255" s="20"/>
      <c r="H255" s="20"/>
      <c r="I255" s="20"/>
      <c r="J255" s="20"/>
      <c r="K255" s="20"/>
      <c r="L255" s="20"/>
      <c r="M255" s="20"/>
      <c r="N255" s="17"/>
      <c r="O255" s="21" t="s">
        <v>382</v>
      </c>
      <c r="P255" s="20"/>
      <c r="Q255" s="20"/>
      <c r="R255" s="20"/>
      <c r="S255" s="20">
        <v>7</v>
      </c>
      <c r="T255" s="20">
        <v>14</v>
      </c>
      <c r="U255" s="20"/>
      <c r="V255" s="20"/>
      <c r="W255" s="20"/>
      <c r="X255" s="20"/>
      <c r="Y255" s="20"/>
      <c r="Z255" s="20"/>
      <c r="AA255" s="20"/>
      <c r="AB255" s="17"/>
      <c r="AC255" s="17"/>
      <c r="AD255" s="17"/>
      <c r="AE255" s="17"/>
      <c r="AF255" s="17"/>
      <c r="AG255" s="17"/>
      <c r="AH255" s="17"/>
      <c r="AI255" s="17"/>
      <c r="AJ255" s="17"/>
      <c r="AK255" s="17"/>
      <c r="AL255" s="17"/>
      <c r="AM255" s="17"/>
      <c r="AN255" s="17"/>
      <c r="AO255" s="17"/>
      <c r="AP255" s="17"/>
      <c r="AQ255" s="17"/>
      <c r="AR255" s="17"/>
      <c r="AS255" s="17"/>
      <c r="AT255" s="17"/>
      <c r="AU255" s="17"/>
      <c r="AV255" s="17"/>
      <c r="AW255" s="17"/>
      <c r="AX255" s="17"/>
      <c r="AY255" s="17"/>
    </row>
    <row r="256" spans="1:51" x14ac:dyDescent="0.2">
      <c r="A256" s="21" t="s">
        <v>760</v>
      </c>
      <c r="B256" s="20"/>
      <c r="C256" s="20"/>
      <c r="D256" s="20"/>
      <c r="E256" s="20">
        <v>10</v>
      </c>
      <c r="F256" s="20"/>
      <c r="G256" s="20">
        <v>28</v>
      </c>
      <c r="H256" s="20"/>
      <c r="I256" s="20"/>
      <c r="J256" s="20"/>
      <c r="K256" s="20">
        <v>270</v>
      </c>
      <c r="L256" s="20"/>
      <c r="M256" s="20"/>
      <c r="N256" s="17"/>
      <c r="O256" s="21" t="s">
        <v>384</v>
      </c>
      <c r="P256" s="20"/>
      <c r="Q256" s="20"/>
      <c r="R256" s="20"/>
      <c r="S256" s="20"/>
      <c r="T256" s="20"/>
      <c r="U256" s="20">
        <v>30</v>
      </c>
      <c r="V256" s="20"/>
      <c r="W256" s="20"/>
      <c r="X256" s="20"/>
      <c r="Y256" s="20"/>
      <c r="Z256" s="20"/>
      <c r="AA256" s="20"/>
      <c r="AB256" s="17"/>
      <c r="AC256" s="17"/>
      <c r="AD256" s="17"/>
      <c r="AE256" s="17"/>
      <c r="AF256" s="17"/>
      <c r="AG256" s="17"/>
      <c r="AH256" s="17"/>
      <c r="AI256" s="17"/>
      <c r="AJ256" s="17"/>
      <c r="AK256" s="17"/>
      <c r="AL256" s="17"/>
      <c r="AM256" s="17"/>
      <c r="AN256" s="17"/>
      <c r="AO256" s="17"/>
      <c r="AP256" s="17"/>
      <c r="AQ256" s="17"/>
      <c r="AR256" s="17"/>
      <c r="AS256" s="17"/>
      <c r="AT256" s="17"/>
      <c r="AU256" s="17"/>
      <c r="AV256" s="17"/>
      <c r="AW256" s="17"/>
      <c r="AX256" s="17"/>
      <c r="AY256" s="17"/>
    </row>
    <row r="257" spans="1:51" x14ac:dyDescent="0.2">
      <c r="A257" s="21" t="s">
        <v>1200</v>
      </c>
      <c r="B257" s="20"/>
      <c r="C257" s="20">
        <v>1</v>
      </c>
      <c r="D257" s="20"/>
      <c r="E257" s="20">
        <v>10</v>
      </c>
      <c r="F257" s="20">
        <v>21</v>
      </c>
      <c r="G257" s="20"/>
      <c r="H257" s="20"/>
      <c r="I257" s="20"/>
      <c r="J257" s="20"/>
      <c r="K257" s="20">
        <v>129</v>
      </c>
      <c r="L257" s="20"/>
      <c r="M257" s="20"/>
      <c r="N257" s="17"/>
      <c r="O257" s="21" t="s">
        <v>389</v>
      </c>
      <c r="P257" s="20"/>
      <c r="Q257" s="20"/>
      <c r="R257" s="20">
        <v>3</v>
      </c>
      <c r="S257" s="20"/>
      <c r="T257" s="20">
        <v>8</v>
      </c>
      <c r="U257" s="20"/>
      <c r="V257" s="20"/>
      <c r="W257" s="20"/>
      <c r="X257" s="20"/>
      <c r="Y257" s="20"/>
      <c r="Z257" s="20"/>
      <c r="AA257" s="20"/>
      <c r="AB257" s="17"/>
      <c r="AC257" s="17"/>
      <c r="AD257" s="17"/>
      <c r="AE257" s="17"/>
      <c r="AF257" s="17"/>
      <c r="AG257" s="17"/>
      <c r="AH257" s="17"/>
      <c r="AI257" s="17"/>
      <c r="AJ257" s="17"/>
      <c r="AK257" s="17"/>
      <c r="AL257" s="17"/>
      <c r="AM257" s="17"/>
      <c r="AN257" s="17"/>
      <c r="AO257" s="17"/>
      <c r="AP257" s="17"/>
      <c r="AQ257" s="17"/>
      <c r="AR257" s="17"/>
      <c r="AS257" s="17"/>
      <c r="AT257" s="17"/>
      <c r="AU257" s="17"/>
      <c r="AV257" s="17"/>
      <c r="AW257" s="17"/>
      <c r="AX257" s="17"/>
      <c r="AY257" s="17"/>
    </row>
    <row r="258" spans="1:51" x14ac:dyDescent="0.2">
      <c r="A258" s="21" t="s">
        <v>677</v>
      </c>
      <c r="B258" s="20"/>
      <c r="C258" s="20">
        <f>IF(Patch&lt;10,0,1)</f>
        <v>1</v>
      </c>
      <c r="D258" s="20">
        <f>IF(Patch&lt;10,0,9)</f>
        <v>9</v>
      </c>
      <c r="E258" s="20">
        <f>IF(Patch&lt;10,0,10)</f>
        <v>10</v>
      </c>
      <c r="F258" s="20">
        <f>IF(Patch&lt;10,0,9)</f>
        <v>9</v>
      </c>
      <c r="G258" s="20"/>
      <c r="H258" s="20"/>
      <c r="I258" s="20"/>
      <c r="J258" s="20"/>
      <c r="K258" s="20">
        <f>IF(Patch&lt;10,225,247)</f>
        <v>247</v>
      </c>
      <c r="L258" s="20"/>
      <c r="M258" s="20"/>
      <c r="N258" s="17"/>
      <c r="O258" s="21" t="s">
        <v>496</v>
      </c>
      <c r="P258" s="20">
        <v>1</v>
      </c>
      <c r="Q258" s="20"/>
      <c r="R258" s="20"/>
      <c r="S258" s="20"/>
      <c r="T258" s="20"/>
      <c r="U258" s="20">
        <v>18</v>
      </c>
      <c r="V258" s="20"/>
      <c r="W258" s="20"/>
      <c r="X258" s="20"/>
      <c r="Y258" s="20"/>
      <c r="Z258" s="20"/>
      <c r="AA258" s="20"/>
      <c r="AB258" s="17"/>
      <c r="AC258" s="17"/>
      <c r="AD258" s="17"/>
      <c r="AE258" s="17"/>
      <c r="AF258" s="17"/>
      <c r="AG258" s="17"/>
      <c r="AH258" s="17"/>
      <c r="AI258" s="17"/>
      <c r="AJ258" s="17"/>
      <c r="AK258" s="17"/>
      <c r="AL258" s="17"/>
      <c r="AM258" s="17"/>
      <c r="AN258" s="17"/>
      <c r="AO258" s="17"/>
      <c r="AP258" s="17"/>
      <c r="AQ258" s="17"/>
      <c r="AR258" s="17"/>
      <c r="AS258" s="17"/>
      <c r="AT258" s="17"/>
      <c r="AU258" s="17"/>
      <c r="AV258" s="17"/>
      <c r="AW258" s="17"/>
      <c r="AX258" s="17"/>
      <c r="AY258" s="17"/>
    </row>
    <row r="259" spans="1:51" x14ac:dyDescent="0.2">
      <c r="A259" s="21" t="s">
        <v>261</v>
      </c>
      <c r="B259" s="20"/>
      <c r="C259" s="20">
        <v>1</v>
      </c>
      <c r="D259" s="20">
        <v>20</v>
      </c>
      <c r="E259" s="20">
        <v>20</v>
      </c>
      <c r="F259" s="20"/>
      <c r="G259" s="20"/>
      <c r="H259" s="20"/>
      <c r="I259" s="20"/>
      <c r="J259" s="20"/>
      <c r="K259" s="20">
        <v>470</v>
      </c>
      <c r="L259" s="20"/>
      <c r="M259" s="20"/>
      <c r="N259" s="17"/>
      <c r="O259" s="21" t="s">
        <v>385</v>
      </c>
      <c r="P259" s="20"/>
      <c r="Q259" s="20"/>
      <c r="R259" s="20"/>
      <c r="S259" s="20">
        <v>10</v>
      </c>
      <c r="T259" s="20">
        <v>4</v>
      </c>
      <c r="U259" s="20"/>
      <c r="V259" s="20"/>
      <c r="W259" s="20"/>
      <c r="X259" s="20"/>
      <c r="Y259" s="20"/>
      <c r="Z259" s="20"/>
      <c r="AA259" s="20"/>
      <c r="AB259" s="17"/>
      <c r="AC259" s="17"/>
      <c r="AD259" s="17"/>
      <c r="AE259" s="17"/>
      <c r="AF259" s="17"/>
      <c r="AG259" s="17"/>
      <c r="AH259" s="17"/>
      <c r="AI259" s="17"/>
      <c r="AJ259" s="17"/>
      <c r="AK259" s="17"/>
      <c r="AL259" s="17"/>
      <c r="AM259" s="17"/>
      <c r="AN259" s="17"/>
      <c r="AO259" s="17"/>
      <c r="AP259" s="17"/>
      <c r="AQ259" s="17"/>
      <c r="AR259" s="17"/>
      <c r="AS259" s="17"/>
      <c r="AT259" s="17"/>
      <c r="AU259" s="17"/>
      <c r="AV259" s="17"/>
      <c r="AW259" s="17"/>
      <c r="AX259" s="17"/>
      <c r="AY259" s="17"/>
    </row>
    <row r="260" spans="1:51" x14ac:dyDescent="0.2">
      <c r="A260" s="21" t="s">
        <v>257</v>
      </c>
      <c r="B260" s="20"/>
      <c r="C260" s="20">
        <v>1</v>
      </c>
      <c r="D260" s="20">
        <v>20</v>
      </c>
      <c r="E260" s="20">
        <v>22</v>
      </c>
      <c r="F260" s="20">
        <v>14</v>
      </c>
      <c r="G260" s="20"/>
      <c r="H260" s="20"/>
      <c r="I260" s="20"/>
      <c r="J260" s="20"/>
      <c r="K260" s="20">
        <v>581</v>
      </c>
      <c r="L260" s="20"/>
      <c r="M260" s="20"/>
      <c r="N260" s="17"/>
      <c r="O260" s="21" t="s">
        <v>398</v>
      </c>
      <c r="P260" s="20"/>
      <c r="Q260" s="20"/>
      <c r="R260" s="20"/>
      <c r="S260" s="20">
        <v>10</v>
      </c>
      <c r="T260" s="20"/>
      <c r="U260" s="20">
        <v>28</v>
      </c>
      <c r="V260" s="20"/>
      <c r="W260" s="20"/>
      <c r="X260" s="20"/>
      <c r="Y260" s="20"/>
      <c r="Z260" s="20"/>
      <c r="AA260" s="20"/>
      <c r="AB260" s="17"/>
      <c r="AC260" s="17"/>
      <c r="AD260" s="17"/>
      <c r="AE260" s="17"/>
      <c r="AF260" s="17"/>
      <c r="AG260" s="17"/>
      <c r="AH260" s="17"/>
      <c r="AI260" s="17"/>
      <c r="AJ260" s="17"/>
      <c r="AK260" s="17"/>
      <c r="AL260" s="17"/>
      <c r="AM260" s="17"/>
      <c r="AN260" s="17"/>
      <c r="AO260" s="17"/>
      <c r="AP260" s="17"/>
      <c r="AQ260" s="17"/>
      <c r="AR260" s="17"/>
      <c r="AS260" s="17"/>
      <c r="AT260" s="17"/>
      <c r="AU260" s="17"/>
      <c r="AV260" s="17"/>
      <c r="AW260" s="17"/>
      <c r="AX260" s="17"/>
      <c r="AY260" s="17"/>
    </row>
    <row r="261" spans="1:51" x14ac:dyDescent="0.2">
      <c r="A261" s="21" t="s">
        <v>262</v>
      </c>
      <c r="B261" s="20"/>
      <c r="C261" s="20">
        <v>2</v>
      </c>
      <c r="D261" s="20"/>
      <c r="E261" s="20">
        <v>22</v>
      </c>
      <c r="F261" s="20"/>
      <c r="G261" s="20">
        <v>44</v>
      </c>
      <c r="H261" s="20"/>
      <c r="I261" s="20"/>
      <c r="J261" s="20"/>
      <c r="K261" s="20">
        <v>286</v>
      </c>
      <c r="L261" s="20"/>
      <c r="M261" s="20"/>
      <c r="N261" s="17"/>
      <c r="O261" s="21" t="s">
        <v>387</v>
      </c>
      <c r="P261" s="20"/>
      <c r="Q261" s="20"/>
      <c r="R261" s="20"/>
      <c r="S261" s="20">
        <v>9</v>
      </c>
      <c r="T261" s="20"/>
      <c r="U261" s="20">
        <f>IF(Patch&lt;10,0,8)</f>
        <v>8</v>
      </c>
      <c r="V261" s="20"/>
      <c r="W261" s="20"/>
      <c r="X261" s="20"/>
      <c r="Y261" s="20"/>
      <c r="Z261" s="20"/>
      <c r="AA261" s="20"/>
      <c r="AB261" s="17"/>
      <c r="AC261" s="17"/>
      <c r="AD261" s="17"/>
      <c r="AE261" s="17"/>
      <c r="AF261" s="17"/>
      <c r="AG261" s="17"/>
      <c r="AH261" s="17"/>
      <c r="AI261" s="17"/>
      <c r="AJ261" s="17"/>
      <c r="AK261" s="17"/>
      <c r="AL261" s="17"/>
      <c r="AM261" s="17"/>
      <c r="AN261" s="17"/>
      <c r="AO261" s="17"/>
      <c r="AP261" s="17"/>
      <c r="AQ261" s="17"/>
      <c r="AR261" s="17"/>
      <c r="AS261" s="17"/>
      <c r="AT261" s="17"/>
      <c r="AU261" s="17"/>
      <c r="AV261" s="17"/>
      <c r="AW261" s="17"/>
      <c r="AX261" s="17"/>
      <c r="AY261" s="17"/>
    </row>
    <row r="262" spans="1:51" x14ac:dyDescent="0.2">
      <c r="A262" s="21" t="s">
        <v>263</v>
      </c>
      <c r="B262" s="20"/>
      <c r="C262" s="20"/>
      <c r="D262" s="20">
        <v>22</v>
      </c>
      <c r="E262" s="20">
        <v>11</v>
      </c>
      <c r="F262" s="20">
        <v>22</v>
      </c>
      <c r="G262" s="20"/>
      <c r="H262" s="20"/>
      <c r="I262" s="20"/>
      <c r="J262" s="20"/>
      <c r="K262" s="20">
        <v>138</v>
      </c>
      <c r="L262" s="20"/>
      <c r="M262" s="20"/>
      <c r="N262" s="17"/>
      <c r="O262" s="17"/>
      <c r="P262" s="17"/>
      <c r="Q262" s="17"/>
      <c r="R262" s="17"/>
      <c r="S262" s="17"/>
      <c r="T262" s="17"/>
      <c r="U262" s="17"/>
      <c r="V262" s="17"/>
      <c r="W262" s="17"/>
      <c r="X262" s="17"/>
      <c r="Y262" s="17"/>
      <c r="Z262" s="17"/>
      <c r="AA262" s="17"/>
      <c r="AB262" s="17"/>
      <c r="AC262" s="17"/>
      <c r="AD262" s="17"/>
      <c r="AE262" s="17"/>
      <c r="AF262" s="17"/>
      <c r="AG262" s="17"/>
      <c r="AH262" s="17"/>
      <c r="AI262" s="17"/>
      <c r="AJ262" s="17"/>
      <c r="AK262" s="17"/>
      <c r="AL262" s="17"/>
      <c r="AM262" s="17"/>
      <c r="AN262" s="17"/>
      <c r="AO262" s="17"/>
      <c r="AP262" s="17"/>
      <c r="AQ262" s="17"/>
      <c r="AR262" s="17"/>
      <c r="AS262" s="17"/>
      <c r="AT262" s="17"/>
      <c r="AU262" s="17"/>
      <c r="AV262" s="17"/>
      <c r="AW262" s="17"/>
      <c r="AX262" s="17"/>
      <c r="AY262" s="17"/>
    </row>
    <row r="263" spans="1:51" x14ac:dyDescent="0.2">
      <c r="A263" s="21" t="s">
        <v>259</v>
      </c>
      <c r="B263" s="20"/>
      <c r="C263" s="20"/>
      <c r="D263" s="20">
        <v>12</v>
      </c>
      <c r="E263" s="20">
        <v>29</v>
      </c>
      <c r="F263" s="20">
        <v>8</v>
      </c>
      <c r="G263" s="20"/>
      <c r="H263" s="20"/>
      <c r="I263" s="20"/>
      <c r="J263" s="20">
        <v>5</v>
      </c>
      <c r="K263" s="20">
        <v>647</v>
      </c>
      <c r="L263" s="20"/>
      <c r="M263" s="20"/>
      <c r="N263" s="17"/>
      <c r="O263" s="17"/>
      <c r="P263" s="17"/>
      <c r="Q263" s="17"/>
      <c r="R263" s="17"/>
      <c r="S263" s="17"/>
      <c r="T263" s="17"/>
      <c r="U263" s="17"/>
      <c r="V263" s="17"/>
      <c r="W263" s="17"/>
      <c r="X263" s="17"/>
      <c r="Y263" s="17"/>
      <c r="Z263" s="17"/>
      <c r="AA263" s="17"/>
      <c r="AB263" s="17"/>
      <c r="AC263" s="17"/>
      <c r="AD263" s="17"/>
      <c r="AE263" s="17"/>
      <c r="AF263" s="17"/>
      <c r="AG263" s="17"/>
      <c r="AH263" s="17"/>
      <c r="AI263" s="17"/>
      <c r="AJ263" s="17"/>
      <c r="AK263" s="17"/>
      <c r="AL263" s="17"/>
      <c r="AM263" s="17"/>
      <c r="AN263" s="17"/>
      <c r="AO263" s="17"/>
      <c r="AP263" s="17"/>
      <c r="AQ263" s="17"/>
      <c r="AR263" s="17"/>
      <c r="AS263" s="17"/>
      <c r="AT263" s="17"/>
      <c r="AU263" s="17"/>
      <c r="AV263" s="17"/>
      <c r="AW263" s="17"/>
      <c r="AX263" s="17"/>
      <c r="AY263" s="17"/>
    </row>
    <row r="264" spans="1:51" x14ac:dyDescent="0.2">
      <c r="A264" s="21" t="s">
        <v>803</v>
      </c>
      <c r="B264" s="20"/>
      <c r="C264" s="20"/>
      <c r="D264" s="20">
        <v>8</v>
      </c>
      <c r="E264" s="20">
        <v>20</v>
      </c>
      <c r="F264" s="20">
        <v>4</v>
      </c>
      <c r="G264" s="20"/>
      <c r="H264" s="20"/>
      <c r="I264" s="20"/>
      <c r="J264" s="20"/>
      <c r="K264" s="20">
        <v>424</v>
      </c>
      <c r="L264" s="20"/>
      <c r="M264" s="20"/>
      <c r="N264" s="17"/>
      <c r="O264" s="17"/>
      <c r="P264" s="17"/>
      <c r="Q264" s="17"/>
      <c r="R264" s="17"/>
      <c r="S264" s="17"/>
      <c r="T264" s="17"/>
      <c r="U264" s="17"/>
      <c r="V264" s="17"/>
      <c r="W264" s="17"/>
      <c r="X264" s="17"/>
      <c r="Y264" s="17"/>
      <c r="Z264" s="17"/>
      <c r="AA264" s="17"/>
      <c r="AB264" s="17"/>
      <c r="AC264" s="17"/>
      <c r="AD264" s="17"/>
      <c r="AE264" s="17"/>
      <c r="AF264" s="17"/>
      <c r="AG264" s="17"/>
      <c r="AH264" s="17"/>
      <c r="AI264" s="17"/>
      <c r="AJ264" s="17"/>
      <c r="AK264" s="17"/>
      <c r="AL264" s="17"/>
      <c r="AM264" s="17"/>
      <c r="AN264" s="17"/>
      <c r="AO264" s="17"/>
      <c r="AP264" s="17"/>
      <c r="AQ264" s="17"/>
      <c r="AR264" s="17"/>
      <c r="AS264" s="17"/>
      <c r="AT264" s="17"/>
      <c r="AU264" s="17"/>
      <c r="AV264" s="17"/>
      <c r="AW264" s="17"/>
      <c r="AX264" s="17"/>
      <c r="AY264" s="17"/>
    </row>
    <row r="265" spans="1:51" x14ac:dyDescent="0.2">
      <c r="A265" s="21" t="s">
        <v>25</v>
      </c>
      <c r="B265" s="20"/>
      <c r="C265" s="20">
        <v>1</v>
      </c>
      <c r="D265" s="20">
        <v>20</v>
      </c>
      <c r="E265" s="20">
        <v>19</v>
      </c>
      <c r="F265" s="20">
        <v>20</v>
      </c>
      <c r="G265" s="20"/>
      <c r="H265" s="20"/>
      <c r="I265" s="20"/>
      <c r="J265" s="20"/>
      <c r="K265" s="20">
        <v>596</v>
      </c>
      <c r="L265" s="20"/>
      <c r="M265" s="20"/>
      <c r="N265" s="17"/>
      <c r="O265" s="17"/>
      <c r="P265" s="17"/>
      <c r="Q265" s="17"/>
      <c r="R265" s="17"/>
      <c r="S265" s="17"/>
      <c r="T265" s="17"/>
      <c r="U265" s="17"/>
      <c r="V265" s="17"/>
      <c r="W265" s="17"/>
      <c r="X265" s="17"/>
      <c r="Y265" s="17"/>
      <c r="Z265" s="17"/>
      <c r="AA265" s="17"/>
      <c r="AB265" s="17"/>
      <c r="AC265" s="17"/>
      <c r="AD265" s="17"/>
      <c r="AE265" s="17"/>
      <c r="AF265" s="17"/>
      <c r="AG265" s="17"/>
      <c r="AH265" s="17"/>
      <c r="AI265" s="17"/>
      <c r="AJ265" s="17"/>
      <c r="AK265" s="17"/>
      <c r="AL265" s="17"/>
      <c r="AM265" s="17"/>
      <c r="AN265" s="17"/>
      <c r="AO265" s="17"/>
      <c r="AP265" s="17"/>
      <c r="AQ265" s="17"/>
      <c r="AR265" s="17"/>
      <c r="AS265" s="17"/>
      <c r="AT265" s="17"/>
      <c r="AU265" s="17"/>
      <c r="AV265" s="17"/>
      <c r="AW265" s="17"/>
      <c r="AX265" s="17"/>
      <c r="AY265" s="17"/>
    </row>
    <row r="266" spans="1:51" x14ac:dyDescent="0.2">
      <c r="A266" s="21" t="s">
        <v>97</v>
      </c>
      <c r="B266" s="20"/>
      <c r="C266" s="20"/>
      <c r="D266" s="20">
        <v>21</v>
      </c>
      <c r="E266" s="20">
        <v>23</v>
      </c>
      <c r="F266" s="20">
        <v>17</v>
      </c>
      <c r="G266" s="20"/>
      <c r="H266" s="20"/>
      <c r="I266" s="20"/>
      <c r="J266" s="20">
        <v>4</v>
      </c>
      <c r="K266" s="20">
        <v>604</v>
      </c>
      <c r="L266" s="20"/>
      <c r="M266" s="20"/>
      <c r="N266" s="17"/>
      <c r="O266" s="17"/>
      <c r="P266" s="17"/>
      <c r="Q266" s="17"/>
      <c r="R266" s="17"/>
      <c r="S266" s="17"/>
      <c r="T266" s="17"/>
      <c r="U266" s="17"/>
      <c r="V266" s="17"/>
      <c r="W266" s="17"/>
      <c r="X266" s="17"/>
      <c r="Y266" s="17"/>
      <c r="Z266" s="17"/>
      <c r="AA266" s="17"/>
      <c r="AB266" s="17"/>
      <c r="AC266" s="17"/>
      <c r="AD266" s="17"/>
      <c r="AE266" s="17"/>
      <c r="AF266" s="17"/>
      <c r="AG266" s="17"/>
      <c r="AH266" s="17"/>
      <c r="AI266" s="17"/>
      <c r="AJ266" s="17"/>
      <c r="AK266" s="17"/>
      <c r="AL266" s="17"/>
      <c r="AM266" s="17"/>
      <c r="AN266" s="17"/>
      <c r="AO266" s="17"/>
      <c r="AP266" s="17"/>
      <c r="AQ266" s="17"/>
      <c r="AR266" s="17"/>
      <c r="AS266" s="17"/>
      <c r="AT266" s="17"/>
      <c r="AU266" s="17"/>
      <c r="AV266" s="17"/>
      <c r="AW266" s="17"/>
      <c r="AX266" s="17"/>
      <c r="AY266" s="17"/>
    </row>
    <row r="267" spans="1:51" x14ac:dyDescent="0.2">
      <c r="A267" s="21" t="s">
        <v>775</v>
      </c>
      <c r="B267" s="20"/>
      <c r="C267" s="20"/>
      <c r="D267" s="20"/>
      <c r="E267" s="20">
        <v>14</v>
      </c>
      <c r="F267" s="20"/>
      <c r="G267" s="20">
        <v>40</v>
      </c>
      <c r="H267" s="20"/>
      <c r="I267" s="20"/>
      <c r="J267" s="20"/>
      <c r="K267" s="20">
        <v>116</v>
      </c>
      <c r="L267" s="20"/>
      <c r="M267" s="20"/>
      <c r="N267" s="17"/>
      <c r="O267" s="17"/>
      <c r="P267" s="17"/>
      <c r="Q267" s="17"/>
      <c r="R267" s="17"/>
      <c r="S267" s="17"/>
      <c r="T267" s="17"/>
      <c r="U267" s="17"/>
      <c r="V267" s="17"/>
      <c r="W267" s="17"/>
      <c r="X267" s="17"/>
      <c r="Y267" s="17"/>
      <c r="Z267" s="17"/>
      <c r="AA267" s="17"/>
      <c r="AB267" s="17"/>
      <c r="AC267" s="17"/>
      <c r="AD267" s="17"/>
      <c r="AE267" s="17"/>
      <c r="AF267" s="17"/>
      <c r="AG267" s="17"/>
      <c r="AH267" s="17"/>
      <c r="AI267" s="17"/>
      <c r="AJ267" s="17"/>
      <c r="AK267" s="17"/>
      <c r="AL267" s="17"/>
      <c r="AM267" s="17"/>
      <c r="AN267" s="17"/>
      <c r="AO267" s="17"/>
      <c r="AP267" s="17"/>
      <c r="AQ267" s="17"/>
      <c r="AR267" s="17"/>
      <c r="AS267" s="17"/>
      <c r="AT267" s="17"/>
      <c r="AU267" s="17"/>
      <c r="AV267" s="17"/>
      <c r="AW267" s="17"/>
      <c r="AX267" s="17"/>
      <c r="AY267" s="17"/>
    </row>
    <row r="268" spans="1:51" x14ac:dyDescent="0.2">
      <c r="A268" s="21" t="s">
        <v>777</v>
      </c>
      <c r="B268" s="20"/>
      <c r="C268" s="20">
        <f>IF(Patch&lt;10,0,1)</f>
        <v>1</v>
      </c>
      <c r="D268" s="20">
        <f>IF(Patch&lt;10,15,18)</f>
        <v>18</v>
      </c>
      <c r="E268" s="20">
        <f>IF(Patch&lt;10,26,24)</f>
        <v>24</v>
      </c>
      <c r="F268" s="20">
        <f>IF(Patch&lt;10,11,12)</f>
        <v>12</v>
      </c>
      <c r="G268" s="20"/>
      <c r="H268" s="20"/>
      <c r="I268" s="20"/>
      <c r="J268" s="20"/>
      <c r="K268" s="20">
        <f>IF(Patch&lt;10,507,592)</f>
        <v>592</v>
      </c>
      <c r="L268" s="20"/>
      <c r="M268" s="20"/>
      <c r="N268" s="17"/>
      <c r="O268" s="17"/>
      <c r="P268" s="17"/>
      <c r="Q268" s="17"/>
      <c r="R268" s="17"/>
      <c r="S268" s="17"/>
      <c r="T268" s="17"/>
      <c r="U268" s="17"/>
      <c r="V268" s="17"/>
      <c r="W268" s="17"/>
      <c r="X268" s="17"/>
      <c r="Y268" s="17"/>
      <c r="Z268" s="17"/>
      <c r="AA268" s="17"/>
      <c r="AB268" s="17"/>
      <c r="AC268" s="17"/>
      <c r="AD268" s="17"/>
      <c r="AE268" s="17"/>
      <c r="AF268" s="17"/>
      <c r="AG268" s="17"/>
      <c r="AH268" s="17"/>
      <c r="AI268" s="17"/>
      <c r="AJ268" s="17"/>
      <c r="AK268" s="17"/>
      <c r="AL268" s="17"/>
      <c r="AM268" s="17"/>
      <c r="AN268" s="17"/>
      <c r="AO268" s="17"/>
      <c r="AP268" s="17"/>
      <c r="AQ268" s="17"/>
      <c r="AR268" s="17"/>
      <c r="AS268" s="17"/>
      <c r="AT268" s="17"/>
      <c r="AU268" s="17"/>
      <c r="AV268" s="17"/>
      <c r="AW268" s="17"/>
      <c r="AX268" s="17"/>
      <c r="AY268" s="17"/>
    </row>
    <row r="269" spans="1:51" x14ac:dyDescent="0.2">
      <c r="A269" s="21" t="s">
        <v>778</v>
      </c>
      <c r="B269" s="20"/>
      <c r="C269" s="20"/>
      <c r="D269" s="20">
        <f>IF(Patch&lt;9,8,10)</f>
        <v>10</v>
      </c>
      <c r="E269" s="20">
        <v>23</v>
      </c>
      <c r="F269" s="20">
        <f>IF(Patch&lt;9,5,9)</f>
        <v>9</v>
      </c>
      <c r="G269" s="20"/>
      <c r="H269" s="20"/>
      <c r="I269" s="20"/>
      <c r="J269" s="20"/>
      <c r="K269" s="20">
        <f>IF(Patch&lt;9,452,472)</f>
        <v>472</v>
      </c>
      <c r="L269" s="20"/>
      <c r="M269" s="20"/>
      <c r="N269" s="17"/>
      <c r="O269" s="17"/>
      <c r="P269" s="17"/>
      <c r="Q269" s="17"/>
      <c r="R269" s="17"/>
      <c r="S269" s="17"/>
      <c r="T269" s="17"/>
      <c r="U269" s="17"/>
      <c r="V269" s="17"/>
      <c r="W269" s="17"/>
      <c r="X269" s="17"/>
      <c r="Y269" s="17"/>
      <c r="Z269" s="17"/>
      <c r="AA269" s="17"/>
      <c r="AB269" s="17"/>
      <c r="AC269" s="17"/>
      <c r="AD269" s="17"/>
      <c r="AE269" s="17"/>
      <c r="AF269" s="17"/>
      <c r="AG269" s="17"/>
      <c r="AH269" s="17"/>
      <c r="AI269" s="17"/>
      <c r="AJ269" s="17"/>
      <c r="AK269" s="17"/>
      <c r="AL269" s="17"/>
      <c r="AM269" s="17"/>
      <c r="AN269" s="17"/>
      <c r="AO269" s="17"/>
      <c r="AP269" s="17"/>
      <c r="AQ269" s="17"/>
      <c r="AR269" s="17"/>
      <c r="AS269" s="17"/>
      <c r="AT269" s="17"/>
      <c r="AU269" s="17"/>
      <c r="AV269" s="17"/>
      <c r="AW269" s="17"/>
      <c r="AX269" s="17"/>
      <c r="AY269" s="17"/>
    </row>
    <row r="270" spans="1:51" x14ac:dyDescent="0.2">
      <c r="A270" s="21" t="s">
        <v>260</v>
      </c>
      <c r="B270" s="20"/>
      <c r="C270" s="20"/>
      <c r="D270" s="20">
        <v>15</v>
      </c>
      <c r="E270" s="20">
        <f>IF(Patch&lt;5,23,26)</f>
        <v>26</v>
      </c>
      <c r="F270" s="20">
        <f>IF(Patch&lt;5,9,0)</f>
        <v>0</v>
      </c>
      <c r="G270" s="20"/>
      <c r="H270" s="20"/>
      <c r="I270" s="20"/>
      <c r="J270" s="20">
        <f>IF(Patch&lt;5,0,IF(Patch&lt;7,8,5))</f>
        <v>5</v>
      </c>
      <c r="K270" s="20">
        <v>515</v>
      </c>
      <c r="L270" s="20"/>
      <c r="M270" s="20"/>
      <c r="N270" s="17"/>
      <c r="O270" s="17"/>
      <c r="P270" s="17"/>
      <c r="Q270" s="17"/>
      <c r="R270" s="17"/>
      <c r="S270" s="17"/>
      <c r="T270" s="17"/>
      <c r="U270" s="17"/>
      <c r="V270" s="17"/>
      <c r="W270" s="17"/>
      <c r="X270" s="17"/>
      <c r="Y270" s="17"/>
      <c r="Z270" s="17"/>
      <c r="AA270" s="17"/>
      <c r="AB270" s="17"/>
      <c r="AC270" s="17"/>
      <c r="AD270" s="17"/>
      <c r="AE270" s="17"/>
      <c r="AF270" s="17"/>
      <c r="AG270" s="17"/>
      <c r="AH270" s="17"/>
      <c r="AI270" s="17"/>
      <c r="AJ270" s="17"/>
      <c r="AK270" s="17"/>
      <c r="AL270" s="17"/>
      <c r="AM270" s="17"/>
      <c r="AN270" s="17"/>
      <c r="AO270" s="17"/>
      <c r="AP270" s="17"/>
      <c r="AQ270" s="17"/>
      <c r="AR270" s="17"/>
      <c r="AS270" s="17"/>
      <c r="AT270" s="17"/>
      <c r="AU270" s="17"/>
      <c r="AV270" s="17"/>
      <c r="AW270" s="17"/>
      <c r="AX270" s="17"/>
      <c r="AY270" s="17"/>
    </row>
    <row r="271" spans="1:51" x14ac:dyDescent="0.2">
      <c r="A271" s="21" t="s">
        <v>256</v>
      </c>
      <c r="B271" s="20"/>
      <c r="C271" s="20"/>
      <c r="D271" s="20">
        <v>13</v>
      </c>
      <c r="E271" s="20">
        <v>30</v>
      </c>
      <c r="F271" s="20"/>
      <c r="G271" s="20"/>
      <c r="H271" s="20"/>
      <c r="I271" s="20"/>
      <c r="J271" s="20">
        <f>IF(Patch&lt;7,10,7)</f>
        <v>7</v>
      </c>
      <c r="K271" s="20">
        <v>589</v>
      </c>
      <c r="L271" s="20"/>
      <c r="M271" s="20"/>
      <c r="N271" s="17"/>
      <c r="O271" s="17"/>
      <c r="P271" s="17"/>
      <c r="Q271" s="17"/>
      <c r="R271" s="17"/>
      <c r="S271" s="17"/>
      <c r="T271" s="17"/>
      <c r="U271" s="17"/>
      <c r="V271" s="17"/>
      <c r="W271" s="17"/>
      <c r="X271" s="17"/>
      <c r="Y271" s="17"/>
      <c r="Z271" s="17"/>
      <c r="AA271" s="17"/>
      <c r="AB271" s="17"/>
      <c r="AC271" s="17"/>
      <c r="AD271" s="17"/>
      <c r="AE271" s="17"/>
      <c r="AF271" s="17"/>
      <c r="AG271" s="17"/>
      <c r="AH271" s="17"/>
      <c r="AI271" s="17"/>
      <c r="AJ271" s="17"/>
      <c r="AK271" s="17"/>
      <c r="AL271" s="17"/>
      <c r="AM271" s="17"/>
      <c r="AN271" s="17"/>
      <c r="AO271" s="17"/>
      <c r="AP271" s="17"/>
      <c r="AQ271" s="17"/>
      <c r="AR271" s="17"/>
      <c r="AS271" s="17"/>
      <c r="AT271" s="17"/>
      <c r="AU271" s="17"/>
      <c r="AV271" s="17"/>
      <c r="AW271" s="17"/>
      <c r="AX271" s="17"/>
      <c r="AY271" s="17"/>
    </row>
    <row r="272" spans="1:51" x14ac:dyDescent="0.2">
      <c r="A272" s="21" t="s">
        <v>761</v>
      </c>
      <c r="B272" s="20"/>
      <c r="C272" s="20"/>
      <c r="D272" s="20">
        <v>14</v>
      </c>
      <c r="E272" s="20">
        <v>14</v>
      </c>
      <c r="F272" s="20">
        <v>9</v>
      </c>
      <c r="G272" s="20"/>
      <c r="H272" s="20"/>
      <c r="I272" s="20"/>
      <c r="J272" s="20"/>
      <c r="K272" s="20">
        <v>417</v>
      </c>
      <c r="L272" s="20"/>
      <c r="M272" s="20"/>
      <c r="N272" s="17"/>
      <c r="O272" s="17"/>
      <c r="P272" s="17"/>
      <c r="Q272" s="17"/>
      <c r="R272" s="17"/>
      <c r="S272" s="17"/>
      <c r="T272" s="17"/>
      <c r="U272" s="17"/>
      <c r="V272" s="17"/>
      <c r="W272" s="17"/>
      <c r="X272" s="17"/>
      <c r="Y272" s="17"/>
      <c r="Z272" s="17"/>
      <c r="AA272" s="17"/>
      <c r="AB272" s="17"/>
      <c r="AC272" s="17"/>
      <c r="AD272" s="17"/>
      <c r="AE272" s="17"/>
      <c r="AF272" s="17"/>
      <c r="AG272" s="17"/>
      <c r="AH272" s="17"/>
      <c r="AI272" s="17"/>
      <c r="AJ272" s="17"/>
      <c r="AK272" s="17"/>
      <c r="AL272" s="17"/>
      <c r="AM272" s="17"/>
      <c r="AN272" s="17"/>
      <c r="AO272" s="17"/>
      <c r="AP272" s="17"/>
      <c r="AQ272" s="17"/>
      <c r="AR272" s="17"/>
      <c r="AS272" s="17"/>
      <c r="AT272" s="17"/>
      <c r="AU272" s="17"/>
      <c r="AV272" s="17"/>
      <c r="AW272" s="17"/>
      <c r="AX272" s="17"/>
      <c r="AY272" s="17"/>
    </row>
    <row r="273" spans="1:51" x14ac:dyDescent="0.2">
      <c r="A273" s="21" t="s">
        <v>258</v>
      </c>
      <c r="B273" s="20"/>
      <c r="C273" s="20">
        <v>1</v>
      </c>
      <c r="D273" s="20">
        <v>18</v>
      </c>
      <c r="E273" s="20">
        <v>12</v>
      </c>
      <c r="F273" s="20">
        <v>12</v>
      </c>
      <c r="G273" s="20"/>
      <c r="H273" s="20"/>
      <c r="I273" s="20"/>
      <c r="J273" s="20"/>
      <c r="K273" s="20">
        <v>519</v>
      </c>
      <c r="L273" s="20"/>
      <c r="M273" s="20"/>
      <c r="N273" s="17"/>
      <c r="O273" s="17"/>
      <c r="P273" s="17"/>
      <c r="Q273" s="17"/>
      <c r="R273" s="17"/>
      <c r="S273" s="17"/>
      <c r="T273" s="17"/>
      <c r="U273" s="17"/>
      <c r="V273" s="17"/>
      <c r="W273" s="17"/>
      <c r="X273" s="17"/>
      <c r="Y273" s="17"/>
      <c r="Z273" s="17"/>
      <c r="AA273" s="17"/>
      <c r="AB273" s="17"/>
      <c r="AC273" s="17"/>
      <c r="AD273" s="17"/>
      <c r="AE273" s="17"/>
      <c r="AF273" s="17"/>
      <c r="AG273" s="17"/>
      <c r="AH273" s="17"/>
      <c r="AI273" s="17"/>
      <c r="AJ273" s="17"/>
      <c r="AK273" s="17"/>
      <c r="AL273" s="17"/>
      <c r="AM273" s="17"/>
      <c r="AN273" s="17"/>
      <c r="AO273" s="17"/>
      <c r="AP273" s="17"/>
      <c r="AQ273" s="17"/>
      <c r="AR273" s="17"/>
      <c r="AS273" s="17"/>
      <c r="AT273" s="17"/>
      <c r="AU273" s="17"/>
      <c r="AV273" s="17"/>
      <c r="AW273" s="17"/>
      <c r="AX273" s="17"/>
      <c r="AY273" s="17"/>
    </row>
    <row r="274" spans="1:51" x14ac:dyDescent="0.2">
      <c r="A274" s="21" t="s">
        <v>776</v>
      </c>
      <c r="B274" s="20"/>
      <c r="C274" s="20"/>
      <c r="D274" s="20">
        <v>4</v>
      </c>
      <c r="E274" s="20">
        <v>7</v>
      </c>
      <c r="F274" s="20">
        <v>21</v>
      </c>
      <c r="G274" s="20"/>
      <c r="H274" s="20"/>
      <c r="I274" s="20"/>
      <c r="J274" s="20"/>
      <c r="K274" s="20">
        <v>115</v>
      </c>
      <c r="L274" s="20"/>
      <c r="M274" s="20"/>
      <c r="N274" s="17"/>
      <c r="O274" s="17"/>
      <c r="P274" s="17"/>
      <c r="Q274" s="17"/>
      <c r="R274" s="17"/>
      <c r="S274" s="17"/>
      <c r="T274" s="17"/>
      <c r="U274" s="17"/>
      <c r="V274" s="17"/>
      <c r="W274" s="17"/>
      <c r="X274" s="17"/>
      <c r="Y274" s="17"/>
      <c r="Z274" s="17"/>
      <c r="AA274" s="17"/>
      <c r="AB274" s="17"/>
      <c r="AC274" s="17"/>
      <c r="AD274" s="17"/>
      <c r="AE274" s="17"/>
      <c r="AF274" s="17"/>
      <c r="AG274" s="17"/>
      <c r="AH274" s="17"/>
      <c r="AI274" s="17"/>
      <c r="AJ274" s="17"/>
      <c r="AK274" s="17"/>
      <c r="AL274" s="17"/>
      <c r="AM274" s="17"/>
      <c r="AN274" s="17"/>
      <c r="AO274" s="17"/>
      <c r="AP274" s="17"/>
      <c r="AQ274" s="17"/>
      <c r="AR274" s="17"/>
      <c r="AS274" s="17"/>
      <c r="AT274" s="17"/>
      <c r="AU274" s="17"/>
      <c r="AV274" s="17"/>
      <c r="AW274" s="17"/>
      <c r="AX274" s="17"/>
      <c r="AY274" s="17"/>
    </row>
    <row r="275" spans="1:51" x14ac:dyDescent="0.2">
      <c r="A275" s="21" t="s">
        <v>1263</v>
      </c>
      <c r="B275" s="20"/>
      <c r="C275" s="20">
        <f>IF(Patch&lt;10,0,1)</f>
        <v>1</v>
      </c>
      <c r="D275" s="20">
        <f>IF(Patch&lt;10,7,0)</f>
        <v>0</v>
      </c>
      <c r="E275" s="20"/>
      <c r="F275" s="20">
        <v>20</v>
      </c>
      <c r="G275" s="20"/>
      <c r="H275" s="20"/>
      <c r="I275" s="20"/>
      <c r="J275" s="20"/>
      <c r="K275" s="20">
        <v>247</v>
      </c>
      <c r="L275" s="20"/>
      <c r="M275" s="20"/>
      <c r="N275" s="17"/>
      <c r="O275" s="17"/>
      <c r="P275" s="17"/>
      <c r="Q275" s="17"/>
      <c r="R275" s="17"/>
      <c r="S275" s="17"/>
      <c r="T275" s="17"/>
      <c r="U275" s="17"/>
      <c r="V275" s="17"/>
      <c r="W275" s="17"/>
      <c r="X275" s="17"/>
      <c r="Y275" s="17"/>
      <c r="Z275" s="17"/>
      <c r="AA275" s="17"/>
      <c r="AB275" s="17"/>
      <c r="AC275" s="17"/>
      <c r="AD275" s="17"/>
      <c r="AE275" s="17"/>
      <c r="AF275" s="17"/>
      <c r="AG275" s="17"/>
      <c r="AH275" s="17"/>
      <c r="AI275" s="17"/>
      <c r="AJ275" s="17"/>
      <c r="AK275" s="17"/>
      <c r="AL275" s="17"/>
      <c r="AM275" s="17"/>
      <c r="AN275" s="17"/>
      <c r="AO275" s="17"/>
      <c r="AP275" s="17"/>
      <c r="AQ275" s="17"/>
      <c r="AR275" s="17"/>
      <c r="AS275" s="17"/>
      <c r="AT275" s="17"/>
      <c r="AU275" s="17"/>
      <c r="AV275" s="17"/>
      <c r="AW275" s="17"/>
      <c r="AX275" s="17"/>
      <c r="AY275" s="17"/>
    </row>
    <row r="276" spans="1:51" x14ac:dyDescent="0.2">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c r="AB276" s="17"/>
      <c r="AC276" s="17"/>
      <c r="AD276" s="17"/>
      <c r="AE276" s="17"/>
      <c r="AF276" s="17"/>
      <c r="AG276" s="17"/>
      <c r="AH276" s="17"/>
      <c r="AI276" s="17"/>
      <c r="AJ276" s="17"/>
      <c r="AK276" s="17"/>
      <c r="AL276" s="17"/>
      <c r="AM276" s="17"/>
      <c r="AN276" s="17"/>
      <c r="AO276" s="17"/>
      <c r="AP276" s="17"/>
      <c r="AQ276" s="17"/>
      <c r="AR276" s="17"/>
      <c r="AS276" s="17"/>
      <c r="AT276" s="17"/>
      <c r="AU276" s="17"/>
      <c r="AV276" s="17"/>
      <c r="AW276" s="17"/>
      <c r="AX276" s="17"/>
      <c r="AY276" s="17"/>
    </row>
    <row r="277" spans="1:51" x14ac:dyDescent="0.2">
      <c r="A277" s="171" t="s">
        <v>26</v>
      </c>
      <c r="B277" s="171"/>
      <c r="C277" s="171"/>
      <c r="D277" s="171"/>
      <c r="E277" s="171"/>
      <c r="F277" s="171"/>
      <c r="G277" s="171"/>
      <c r="H277" s="171"/>
      <c r="I277" s="171"/>
      <c r="J277" s="171"/>
      <c r="K277" s="171"/>
      <c r="L277" s="171"/>
      <c r="M277" s="171"/>
      <c r="N277" s="17"/>
      <c r="O277" s="17"/>
      <c r="P277" s="17"/>
      <c r="Q277" s="17"/>
      <c r="R277" s="17"/>
      <c r="S277" s="17"/>
      <c r="T277" s="17"/>
      <c r="U277" s="17"/>
      <c r="V277" s="17"/>
      <c r="W277" s="17"/>
      <c r="X277" s="17"/>
      <c r="Y277" s="17"/>
      <c r="Z277" s="17"/>
      <c r="AA277" s="17"/>
      <c r="AB277" s="17"/>
      <c r="AC277" s="17"/>
      <c r="AD277" s="17"/>
      <c r="AE277" s="17"/>
      <c r="AF277" s="17"/>
      <c r="AG277" s="17"/>
      <c r="AH277" s="17"/>
      <c r="AI277" s="17"/>
      <c r="AJ277" s="17"/>
      <c r="AK277" s="17"/>
      <c r="AL277" s="17"/>
      <c r="AM277" s="17"/>
      <c r="AN277" s="17"/>
      <c r="AO277" s="17"/>
      <c r="AP277" s="17"/>
      <c r="AQ277" s="17"/>
      <c r="AR277" s="17"/>
      <c r="AS277" s="17"/>
      <c r="AT277" s="17"/>
      <c r="AU277" s="17"/>
      <c r="AV277" s="17"/>
      <c r="AW277" s="17"/>
      <c r="AX277" s="17"/>
      <c r="AY277" s="17"/>
    </row>
    <row r="278" spans="1:51" x14ac:dyDescent="0.2">
      <c r="A278" s="172"/>
      <c r="B278" s="172"/>
      <c r="C278" s="172"/>
      <c r="D278" s="172"/>
      <c r="E278" s="172"/>
      <c r="F278" s="172"/>
      <c r="G278" s="172"/>
      <c r="H278" s="172"/>
      <c r="I278" s="172"/>
      <c r="J278" s="172"/>
      <c r="K278" s="172"/>
      <c r="L278" s="172"/>
      <c r="M278" s="172"/>
      <c r="N278" s="17"/>
      <c r="O278" s="17"/>
      <c r="P278" s="17"/>
      <c r="Q278" s="17"/>
      <c r="R278" s="17"/>
      <c r="S278" s="17"/>
      <c r="T278" s="17"/>
      <c r="U278" s="17"/>
      <c r="V278" s="17"/>
      <c r="W278" s="17"/>
      <c r="X278" s="17"/>
      <c r="Y278" s="17"/>
      <c r="Z278" s="17"/>
      <c r="AA278" s="17"/>
      <c r="AB278" s="17"/>
      <c r="AC278" s="17"/>
      <c r="AD278" s="17"/>
      <c r="AE278" s="17"/>
      <c r="AF278" s="17"/>
      <c r="AG278" s="17"/>
      <c r="AH278" s="17"/>
      <c r="AI278" s="17"/>
      <c r="AJ278" s="17"/>
      <c r="AK278" s="17"/>
      <c r="AL278" s="17"/>
      <c r="AM278" s="17"/>
      <c r="AN278" s="17"/>
      <c r="AO278" s="17"/>
      <c r="AP278" s="17"/>
      <c r="AQ278" s="17"/>
      <c r="AR278" s="17"/>
      <c r="AS278" s="17"/>
      <c r="AT278" s="17"/>
      <c r="AU278" s="17"/>
      <c r="AV278" s="17"/>
      <c r="AW278" s="17"/>
      <c r="AX278" s="17"/>
      <c r="AY278" s="17"/>
    </row>
    <row r="279" spans="1:51" x14ac:dyDescent="0.2">
      <c r="A279" s="22" t="s">
        <v>0</v>
      </c>
      <c r="B279" s="22" t="s">
        <v>1</v>
      </c>
      <c r="C279" s="22" t="s">
        <v>2</v>
      </c>
      <c r="D279" s="22" t="s">
        <v>3</v>
      </c>
      <c r="E279" s="22" t="s">
        <v>4</v>
      </c>
      <c r="F279" s="22" t="s">
        <v>5</v>
      </c>
      <c r="G279" s="22" t="s">
        <v>6</v>
      </c>
      <c r="H279" s="22" t="s">
        <v>140</v>
      </c>
      <c r="I279" s="22" t="s">
        <v>156</v>
      </c>
      <c r="J279" s="22" t="s">
        <v>157</v>
      </c>
      <c r="K279" s="22" t="s">
        <v>7</v>
      </c>
      <c r="L279" s="22" t="s">
        <v>122</v>
      </c>
      <c r="M279" s="22" t="s">
        <v>1049</v>
      </c>
      <c r="N279" s="17"/>
      <c r="O279" s="17"/>
      <c r="P279" s="17"/>
      <c r="Q279" s="17"/>
      <c r="R279" s="17"/>
      <c r="S279" s="17"/>
      <c r="T279" s="17"/>
      <c r="U279" s="17"/>
      <c r="V279" s="17"/>
      <c r="W279" s="17"/>
      <c r="X279" s="17"/>
      <c r="Y279" s="17"/>
      <c r="Z279" s="17"/>
      <c r="AA279" s="17"/>
      <c r="AB279" s="17"/>
      <c r="AC279" s="17"/>
      <c r="AD279" s="17"/>
      <c r="AE279" s="17"/>
      <c r="AF279" s="17"/>
      <c r="AG279" s="17"/>
      <c r="AH279" s="17"/>
      <c r="AI279" s="17"/>
      <c r="AJ279" s="17"/>
      <c r="AK279" s="17"/>
      <c r="AL279" s="17"/>
      <c r="AM279" s="17"/>
      <c r="AN279" s="17"/>
      <c r="AO279" s="17"/>
      <c r="AP279" s="17"/>
      <c r="AQ279" s="17"/>
      <c r="AR279" s="17"/>
      <c r="AS279" s="17"/>
      <c r="AT279" s="17"/>
      <c r="AU279" s="17"/>
      <c r="AV279" s="17"/>
      <c r="AW279" s="17"/>
      <c r="AX279" s="17"/>
      <c r="AY279" s="17"/>
    </row>
    <row r="280" spans="1:51" x14ac:dyDescent="0.2">
      <c r="A280" s="21" t="s">
        <v>393</v>
      </c>
      <c r="B280" s="19"/>
      <c r="C280" s="19"/>
      <c r="D280" s="19"/>
      <c r="E280" s="19"/>
      <c r="F280" s="19"/>
      <c r="G280" s="19"/>
      <c r="H280" s="19"/>
      <c r="I280" s="19"/>
      <c r="J280" s="19"/>
      <c r="K280" s="19"/>
      <c r="L280" s="19"/>
      <c r="M280" s="19"/>
      <c r="N280" s="17"/>
      <c r="O280" s="17"/>
      <c r="P280" s="17"/>
      <c r="Q280" s="17"/>
      <c r="R280" s="17"/>
      <c r="S280" s="17"/>
      <c r="T280" s="17"/>
      <c r="U280" s="17"/>
      <c r="V280" s="17"/>
      <c r="W280" s="17"/>
      <c r="X280" s="17"/>
      <c r="Y280" s="17"/>
      <c r="Z280" s="17"/>
      <c r="AA280" s="17"/>
      <c r="AB280" s="17"/>
      <c r="AC280" s="17"/>
      <c r="AD280" s="17"/>
      <c r="AE280" s="17"/>
      <c r="AF280" s="17"/>
      <c r="AG280" s="17"/>
      <c r="AH280" s="17"/>
      <c r="AI280" s="17"/>
      <c r="AJ280" s="17"/>
      <c r="AK280" s="17"/>
      <c r="AL280" s="17"/>
      <c r="AM280" s="17"/>
      <c r="AN280" s="17"/>
      <c r="AO280" s="17"/>
      <c r="AP280" s="17"/>
      <c r="AQ280" s="17"/>
      <c r="AR280" s="17"/>
      <c r="AS280" s="17"/>
      <c r="AT280" s="17"/>
      <c r="AU280" s="17"/>
      <c r="AV280" s="17"/>
      <c r="AW280" s="17"/>
      <c r="AX280" s="17"/>
      <c r="AY280" s="17"/>
    </row>
    <row r="281" spans="1:51" x14ac:dyDescent="0.2">
      <c r="A281" s="21" t="s">
        <v>1050</v>
      </c>
      <c r="B281" s="19"/>
      <c r="C281" s="19"/>
      <c r="D281" s="19"/>
      <c r="E281" s="19"/>
      <c r="F281" s="19"/>
      <c r="G281" s="19"/>
      <c r="H281" s="19"/>
      <c r="I281" s="19"/>
      <c r="J281" s="19"/>
      <c r="K281" s="19"/>
      <c r="L281" s="19"/>
      <c r="M281" s="19"/>
      <c r="N281" s="17"/>
      <c r="O281" s="17"/>
      <c r="P281" s="17"/>
      <c r="Q281" s="17"/>
      <c r="R281" s="17"/>
      <c r="S281" s="17"/>
      <c r="T281" s="17"/>
      <c r="U281" s="17"/>
      <c r="V281" s="17"/>
      <c r="W281" s="17"/>
      <c r="X281" s="17"/>
      <c r="Y281" s="17"/>
      <c r="Z281" s="17"/>
      <c r="AA281" s="17"/>
      <c r="AB281" s="17"/>
      <c r="AC281" s="17"/>
      <c r="AD281" s="17"/>
      <c r="AE281" s="17"/>
      <c r="AF281" s="17"/>
      <c r="AG281" s="17"/>
      <c r="AH281" s="17"/>
      <c r="AI281" s="17"/>
      <c r="AJ281" s="17"/>
      <c r="AK281" s="17"/>
      <c r="AL281" s="17"/>
      <c r="AM281" s="17"/>
      <c r="AN281" s="17"/>
      <c r="AO281" s="17"/>
      <c r="AP281" s="17"/>
      <c r="AQ281" s="17"/>
      <c r="AR281" s="17"/>
      <c r="AS281" s="17"/>
      <c r="AT281" s="17"/>
      <c r="AU281" s="17"/>
      <c r="AV281" s="17"/>
      <c r="AW281" s="17"/>
      <c r="AX281" s="17"/>
      <c r="AY281" s="17"/>
    </row>
    <row r="282" spans="1:51" x14ac:dyDescent="0.2">
      <c r="A282" s="21" t="s">
        <v>266</v>
      </c>
      <c r="B282" s="20"/>
      <c r="C282" s="20"/>
      <c r="D282" s="20"/>
      <c r="E282" s="20">
        <v>28</v>
      </c>
      <c r="F282" s="20">
        <v>14</v>
      </c>
      <c r="G282" s="20"/>
      <c r="H282" s="20"/>
      <c r="I282" s="20"/>
      <c r="J282" s="20"/>
      <c r="K282" s="20"/>
      <c r="L282" s="20"/>
      <c r="M282" s="20"/>
      <c r="N282" s="17"/>
      <c r="O282" s="17"/>
      <c r="P282" s="17"/>
      <c r="Q282" s="17"/>
      <c r="R282" s="17"/>
      <c r="S282" s="17"/>
      <c r="T282" s="17"/>
      <c r="U282" s="17"/>
      <c r="V282" s="17"/>
      <c r="W282" s="17"/>
      <c r="X282" s="17"/>
      <c r="Y282" s="17"/>
      <c r="Z282" s="17"/>
      <c r="AA282" s="17"/>
      <c r="AB282" s="17"/>
      <c r="AC282" s="17"/>
      <c r="AD282" s="17"/>
      <c r="AE282" s="17"/>
      <c r="AF282" s="17"/>
      <c r="AG282" s="17"/>
      <c r="AH282" s="17"/>
      <c r="AI282" s="17"/>
      <c r="AJ282" s="17"/>
      <c r="AK282" s="17"/>
      <c r="AL282" s="17"/>
      <c r="AM282" s="17"/>
      <c r="AN282" s="17"/>
      <c r="AO282" s="17"/>
      <c r="AP282" s="17"/>
      <c r="AQ282" s="17"/>
      <c r="AR282" s="17"/>
      <c r="AS282" s="17"/>
      <c r="AT282" s="17"/>
      <c r="AU282" s="17"/>
      <c r="AV282" s="17"/>
      <c r="AW282" s="17"/>
      <c r="AX282" s="17"/>
      <c r="AY282" s="17"/>
    </row>
    <row r="283" spans="1:51" x14ac:dyDescent="0.2">
      <c r="A283" s="21" t="s">
        <v>269</v>
      </c>
      <c r="B283" s="20"/>
      <c r="C283" s="20">
        <v>2</v>
      </c>
      <c r="D283" s="20"/>
      <c r="E283" s="20">
        <v>10</v>
      </c>
      <c r="F283" s="20">
        <v>16</v>
      </c>
      <c r="G283" s="20"/>
      <c r="H283" s="20"/>
      <c r="I283" s="20"/>
      <c r="J283" s="20"/>
      <c r="K283" s="20"/>
      <c r="L283" s="20"/>
      <c r="M283" s="20"/>
      <c r="N283" s="17"/>
      <c r="O283" s="17"/>
      <c r="P283" s="17"/>
      <c r="Q283" s="17"/>
      <c r="R283" s="17"/>
      <c r="S283" s="17"/>
      <c r="T283" s="17"/>
      <c r="U283" s="17"/>
      <c r="V283" s="17"/>
      <c r="W283" s="17"/>
      <c r="X283" s="17"/>
      <c r="Y283" s="17"/>
      <c r="Z283" s="17"/>
      <c r="AA283" s="17"/>
      <c r="AB283" s="17"/>
      <c r="AC283" s="17"/>
      <c r="AD283" s="17"/>
      <c r="AE283" s="17"/>
      <c r="AF283" s="17"/>
      <c r="AG283" s="17"/>
      <c r="AH283" s="17"/>
      <c r="AI283" s="17"/>
      <c r="AJ283" s="17"/>
      <c r="AK283" s="17"/>
      <c r="AL283" s="17"/>
      <c r="AM283" s="17"/>
      <c r="AN283" s="17"/>
      <c r="AO283" s="17"/>
      <c r="AP283" s="17"/>
      <c r="AQ283" s="17"/>
      <c r="AR283" s="17"/>
      <c r="AS283" s="17"/>
      <c r="AT283" s="17"/>
      <c r="AU283" s="17"/>
      <c r="AV283" s="17"/>
      <c r="AW283" s="17"/>
      <c r="AX283" s="17"/>
      <c r="AY283" s="17"/>
    </row>
    <row r="284" spans="1:51" x14ac:dyDescent="0.2">
      <c r="A284" s="21" t="s">
        <v>274</v>
      </c>
      <c r="B284" s="20">
        <v>1</v>
      </c>
      <c r="C284" s="20">
        <v>1</v>
      </c>
      <c r="D284" s="20">
        <v>6</v>
      </c>
      <c r="E284" s="20"/>
      <c r="F284" s="20"/>
      <c r="G284" s="20"/>
      <c r="H284" s="20"/>
      <c r="I284" s="20"/>
      <c r="J284" s="20"/>
      <c r="K284" s="20"/>
      <c r="L284" s="20"/>
      <c r="M284" s="20"/>
      <c r="N284" s="17"/>
      <c r="O284" s="17"/>
      <c r="P284" s="17"/>
      <c r="Q284" s="17"/>
      <c r="R284" s="17"/>
      <c r="S284" s="17"/>
      <c r="T284" s="17"/>
      <c r="U284" s="17"/>
      <c r="V284" s="17"/>
      <c r="W284" s="17"/>
      <c r="X284" s="17"/>
      <c r="Y284" s="17"/>
      <c r="Z284" s="17"/>
      <c r="AA284" s="17"/>
      <c r="AB284" s="17"/>
      <c r="AC284" s="17"/>
      <c r="AD284" s="17"/>
      <c r="AE284" s="17"/>
      <c r="AF284" s="17"/>
      <c r="AG284" s="17"/>
      <c r="AH284" s="17"/>
      <c r="AI284" s="17"/>
      <c r="AJ284" s="17"/>
      <c r="AK284" s="17"/>
      <c r="AL284" s="17"/>
      <c r="AM284" s="17"/>
      <c r="AN284" s="17"/>
      <c r="AO284" s="17"/>
      <c r="AP284" s="17"/>
      <c r="AQ284" s="17"/>
      <c r="AR284" s="17"/>
      <c r="AS284" s="17"/>
      <c r="AT284" s="17"/>
      <c r="AU284" s="17"/>
      <c r="AV284" s="17"/>
      <c r="AW284" s="17"/>
      <c r="AX284" s="17"/>
      <c r="AY284" s="17"/>
    </row>
    <row r="285" spans="1:51" x14ac:dyDescent="0.2">
      <c r="A285" s="21" t="s">
        <v>898</v>
      </c>
      <c r="B285" s="20"/>
      <c r="C285" s="20">
        <v>1</v>
      </c>
      <c r="D285" s="20"/>
      <c r="E285" s="20">
        <v>8</v>
      </c>
      <c r="F285" s="20">
        <v>14</v>
      </c>
      <c r="G285" s="20"/>
      <c r="H285" s="20"/>
      <c r="I285" s="20"/>
      <c r="J285" s="20"/>
      <c r="K285" s="20"/>
      <c r="L285" s="20"/>
      <c r="M285" s="20"/>
      <c r="N285" s="17"/>
      <c r="O285" s="17"/>
      <c r="P285" s="17"/>
      <c r="Q285" s="17"/>
      <c r="R285" s="17"/>
      <c r="S285" s="17"/>
      <c r="T285" s="17"/>
      <c r="U285" s="17"/>
      <c r="V285" s="17"/>
      <c r="W285" s="17"/>
      <c r="X285" s="17"/>
      <c r="Y285" s="17"/>
      <c r="Z285" s="17"/>
      <c r="AA285" s="17"/>
      <c r="AB285" s="17"/>
      <c r="AC285" s="17"/>
      <c r="AD285" s="17"/>
      <c r="AE285" s="17"/>
      <c r="AF285" s="17"/>
      <c r="AG285" s="17"/>
      <c r="AH285" s="17"/>
      <c r="AI285" s="17"/>
      <c r="AJ285" s="17"/>
      <c r="AK285" s="17"/>
      <c r="AL285" s="17"/>
      <c r="AM285" s="17"/>
      <c r="AN285" s="17"/>
      <c r="AO285" s="17"/>
      <c r="AP285" s="17"/>
      <c r="AQ285" s="17"/>
      <c r="AR285" s="17"/>
      <c r="AS285" s="17"/>
      <c r="AT285" s="17"/>
      <c r="AU285" s="17"/>
      <c r="AV285" s="17"/>
      <c r="AW285" s="17"/>
      <c r="AX285" s="17"/>
      <c r="AY285" s="17"/>
    </row>
    <row r="286" spans="1:51" x14ac:dyDescent="0.2">
      <c r="A286" s="21" t="s">
        <v>403</v>
      </c>
      <c r="B286" s="20"/>
      <c r="C286" s="20"/>
      <c r="D286" s="20"/>
      <c r="E286" s="20">
        <v>22</v>
      </c>
      <c r="F286" s="20">
        <v>23</v>
      </c>
      <c r="G286" s="20"/>
      <c r="H286" s="20"/>
      <c r="I286" s="20"/>
      <c r="J286" s="20"/>
      <c r="K286" s="20"/>
      <c r="L286" s="20"/>
      <c r="M286" s="20"/>
      <c r="N286" s="17"/>
      <c r="O286" s="17"/>
      <c r="P286" s="17"/>
      <c r="Q286" s="17"/>
      <c r="R286" s="17"/>
      <c r="S286" s="17"/>
      <c r="T286" s="17"/>
      <c r="U286" s="17"/>
      <c r="V286" s="17"/>
      <c r="W286" s="17"/>
      <c r="X286" s="17"/>
      <c r="Y286" s="17"/>
      <c r="Z286" s="17"/>
      <c r="AA286" s="17"/>
      <c r="AB286" s="17"/>
      <c r="AC286" s="17"/>
      <c r="AD286" s="17"/>
      <c r="AE286" s="17"/>
      <c r="AF286" s="17"/>
      <c r="AG286" s="17"/>
      <c r="AH286" s="17"/>
      <c r="AI286" s="17"/>
      <c r="AJ286" s="17"/>
      <c r="AK286" s="17"/>
      <c r="AL286" s="17"/>
      <c r="AM286" s="17"/>
      <c r="AN286" s="17"/>
      <c r="AO286" s="17"/>
      <c r="AP286" s="17"/>
      <c r="AQ286" s="17"/>
      <c r="AR286" s="17"/>
      <c r="AS286" s="17"/>
      <c r="AT286" s="17"/>
      <c r="AU286" s="17"/>
      <c r="AV286" s="17"/>
      <c r="AW286" s="17"/>
      <c r="AX286" s="17"/>
      <c r="AY286" s="17"/>
    </row>
    <row r="287" spans="1:51" x14ac:dyDescent="0.2">
      <c r="A287" s="21" t="s">
        <v>832</v>
      </c>
      <c r="B287" s="20"/>
      <c r="C287" s="20"/>
      <c r="D287" s="20">
        <v>14</v>
      </c>
      <c r="E287" s="20">
        <v>13</v>
      </c>
      <c r="F287" s="20"/>
      <c r="G287" s="20"/>
      <c r="H287" s="20"/>
      <c r="I287" s="20"/>
      <c r="J287" s="20"/>
      <c r="K287" s="20"/>
      <c r="L287" s="20"/>
      <c r="M287" s="20"/>
      <c r="N287" s="17"/>
      <c r="O287" s="17"/>
      <c r="P287" s="17"/>
      <c r="Q287" s="17"/>
      <c r="R287" s="17"/>
      <c r="S287" s="17"/>
      <c r="T287" s="17"/>
      <c r="U287" s="17"/>
      <c r="V287" s="17"/>
      <c r="W287" s="17"/>
      <c r="X287" s="17"/>
      <c r="Y287" s="17"/>
      <c r="Z287" s="17"/>
      <c r="AA287" s="17"/>
      <c r="AB287" s="17"/>
      <c r="AC287" s="17"/>
      <c r="AD287" s="17"/>
      <c r="AE287" s="17"/>
      <c r="AF287" s="17"/>
      <c r="AG287" s="17"/>
      <c r="AH287" s="17"/>
      <c r="AI287" s="17"/>
      <c r="AJ287" s="17"/>
      <c r="AK287" s="17"/>
      <c r="AL287" s="17"/>
      <c r="AM287" s="17"/>
      <c r="AN287" s="17"/>
      <c r="AO287" s="17"/>
      <c r="AP287" s="17"/>
      <c r="AQ287" s="17"/>
      <c r="AR287" s="17"/>
      <c r="AS287" s="17"/>
      <c r="AT287" s="17"/>
      <c r="AU287" s="17"/>
      <c r="AV287" s="17"/>
      <c r="AW287" s="17"/>
      <c r="AX287" s="17"/>
      <c r="AY287" s="17"/>
    </row>
    <row r="288" spans="1:51" x14ac:dyDescent="0.2">
      <c r="A288" s="21" t="s">
        <v>1182</v>
      </c>
      <c r="B288" s="20">
        <v>1</v>
      </c>
      <c r="C288" s="20">
        <v>1</v>
      </c>
      <c r="D288" s="20"/>
      <c r="E288" s="20"/>
      <c r="F288" s="20"/>
      <c r="G288" s="20">
        <v>52</v>
      </c>
      <c r="H288" s="20"/>
      <c r="I288" s="20"/>
      <c r="J288" s="20"/>
      <c r="K288" s="20"/>
      <c r="L288" s="20"/>
      <c r="M288" s="20"/>
      <c r="N288" s="17"/>
      <c r="O288" s="17"/>
      <c r="P288" s="17"/>
      <c r="Q288" s="17"/>
      <c r="R288" s="17"/>
      <c r="S288" s="17"/>
      <c r="T288" s="17"/>
      <c r="U288" s="17"/>
      <c r="V288" s="17"/>
      <c r="W288" s="17"/>
      <c r="X288" s="17"/>
      <c r="Y288" s="17"/>
      <c r="Z288" s="17"/>
      <c r="AA288" s="17"/>
      <c r="AB288" s="17"/>
      <c r="AC288" s="17"/>
      <c r="AD288" s="17"/>
      <c r="AE288" s="17"/>
      <c r="AF288" s="17"/>
      <c r="AG288" s="17"/>
      <c r="AH288" s="17"/>
      <c r="AI288" s="17"/>
      <c r="AJ288" s="17"/>
      <c r="AK288" s="17"/>
      <c r="AL288" s="17"/>
      <c r="AM288" s="17"/>
      <c r="AN288" s="17"/>
      <c r="AO288" s="17"/>
      <c r="AP288" s="17"/>
      <c r="AQ288" s="17"/>
      <c r="AR288" s="17"/>
      <c r="AS288" s="17"/>
      <c r="AT288" s="17"/>
      <c r="AU288" s="17"/>
      <c r="AV288" s="17"/>
      <c r="AW288" s="17"/>
      <c r="AX288" s="17"/>
      <c r="AY288" s="17"/>
    </row>
    <row r="289" spans="1:51" x14ac:dyDescent="0.2">
      <c r="A289" s="21" t="s">
        <v>779</v>
      </c>
      <c r="B289" s="20"/>
      <c r="C289" s="20">
        <v>1</v>
      </c>
      <c r="D289" s="20"/>
      <c r="E289" s="20">
        <v>6</v>
      </c>
      <c r="F289" s="20"/>
      <c r="G289" s="20">
        <v>20</v>
      </c>
      <c r="H289" s="20"/>
      <c r="I289" s="20"/>
      <c r="J289" s="20"/>
      <c r="K289" s="20"/>
      <c r="L289" s="20"/>
      <c r="M289" s="20"/>
      <c r="N289" s="17"/>
      <c r="O289" s="17"/>
      <c r="P289" s="17"/>
      <c r="Q289" s="17"/>
      <c r="R289" s="17"/>
      <c r="S289" s="17"/>
      <c r="T289" s="17"/>
      <c r="U289" s="17"/>
      <c r="V289" s="17"/>
      <c r="W289" s="17"/>
      <c r="X289" s="17"/>
      <c r="Y289" s="17"/>
      <c r="Z289" s="17"/>
      <c r="AA289" s="17"/>
      <c r="AB289" s="17"/>
      <c r="AC289" s="17"/>
      <c r="AD289" s="17"/>
      <c r="AE289" s="17"/>
      <c r="AF289" s="17"/>
      <c r="AG289" s="17"/>
      <c r="AH289" s="17"/>
      <c r="AI289" s="17"/>
      <c r="AJ289" s="17"/>
      <c r="AK289" s="17"/>
      <c r="AL289" s="17"/>
      <c r="AM289" s="17"/>
      <c r="AN289" s="17"/>
      <c r="AO289" s="17"/>
      <c r="AP289" s="17"/>
      <c r="AQ289" s="17"/>
      <c r="AR289" s="17"/>
      <c r="AS289" s="17"/>
      <c r="AT289" s="17"/>
      <c r="AU289" s="17"/>
      <c r="AV289" s="17"/>
      <c r="AW289" s="17"/>
      <c r="AX289" s="17"/>
      <c r="AY289" s="17"/>
    </row>
    <row r="290" spans="1:51" x14ac:dyDescent="0.2">
      <c r="A290" s="21" t="s">
        <v>270</v>
      </c>
      <c r="B290" s="20"/>
      <c r="C290" s="20"/>
      <c r="D290" s="20">
        <v>12</v>
      </c>
      <c r="E290" s="20">
        <v>9</v>
      </c>
      <c r="F290" s="20">
        <v>22</v>
      </c>
      <c r="G290" s="20"/>
      <c r="H290" s="20"/>
      <c r="I290" s="20"/>
      <c r="J290" s="20"/>
      <c r="K290" s="20"/>
      <c r="L290" s="20"/>
      <c r="M290" s="20"/>
      <c r="N290" s="17"/>
      <c r="O290" s="17"/>
      <c r="P290" s="17"/>
      <c r="Q290" s="17"/>
      <c r="R290" s="17"/>
      <c r="S290" s="17"/>
      <c r="T290" s="17"/>
      <c r="U290" s="17"/>
      <c r="V290" s="17"/>
      <c r="W290" s="17"/>
      <c r="X290" s="17"/>
      <c r="Y290" s="17"/>
      <c r="Z290" s="17"/>
      <c r="AA290" s="17"/>
      <c r="AB290" s="17"/>
      <c r="AC290" s="17"/>
      <c r="AD290" s="17"/>
      <c r="AE290" s="17"/>
      <c r="AF290" s="17"/>
      <c r="AG290" s="17"/>
      <c r="AH290" s="17"/>
      <c r="AI290" s="17"/>
      <c r="AJ290" s="17"/>
      <c r="AK290" s="17"/>
      <c r="AL290" s="17"/>
      <c r="AM290" s="17"/>
      <c r="AN290" s="17"/>
      <c r="AO290" s="17"/>
      <c r="AP290" s="17"/>
      <c r="AQ290" s="17"/>
      <c r="AR290" s="17"/>
      <c r="AS290" s="17"/>
      <c r="AT290" s="17"/>
      <c r="AU290" s="17"/>
      <c r="AV290" s="17"/>
      <c r="AW290" s="17"/>
      <c r="AX290" s="17"/>
      <c r="AY290" s="17"/>
    </row>
    <row r="291" spans="1:51" x14ac:dyDescent="0.2">
      <c r="A291" s="21" t="s">
        <v>275</v>
      </c>
      <c r="B291" s="20">
        <v>1</v>
      </c>
      <c r="C291" s="20">
        <v>1</v>
      </c>
      <c r="D291" s="20"/>
      <c r="E291" s="20">
        <v>11</v>
      </c>
      <c r="F291" s="20"/>
      <c r="G291" s="20">
        <v>16</v>
      </c>
      <c r="H291" s="20"/>
      <c r="I291" s="20"/>
      <c r="J291" s="20"/>
      <c r="K291" s="20"/>
      <c r="L291" s="20"/>
      <c r="M291" s="20"/>
      <c r="N291" s="17"/>
      <c r="O291" s="17"/>
      <c r="P291" s="17"/>
      <c r="Q291" s="17"/>
      <c r="R291" s="17"/>
      <c r="S291" s="17"/>
      <c r="T291" s="17"/>
      <c r="U291" s="17"/>
      <c r="V291" s="17"/>
      <c r="W291" s="17"/>
      <c r="X291" s="17"/>
      <c r="Y291" s="17"/>
      <c r="Z291" s="17"/>
      <c r="AA291" s="17"/>
      <c r="AB291" s="17"/>
      <c r="AC291" s="17"/>
      <c r="AD291" s="17"/>
      <c r="AE291" s="17"/>
      <c r="AF291" s="17"/>
      <c r="AG291" s="17"/>
      <c r="AH291" s="17"/>
      <c r="AI291" s="17"/>
      <c r="AJ291" s="17"/>
      <c r="AK291" s="17"/>
      <c r="AL291" s="17"/>
      <c r="AM291" s="17"/>
      <c r="AN291" s="17"/>
      <c r="AO291" s="17"/>
      <c r="AP291" s="17"/>
      <c r="AQ291" s="17"/>
      <c r="AR291" s="17"/>
      <c r="AS291" s="17"/>
      <c r="AT291" s="17"/>
      <c r="AU291" s="17"/>
      <c r="AV291" s="17"/>
      <c r="AW291" s="17"/>
      <c r="AX291" s="17"/>
      <c r="AY291" s="17"/>
    </row>
    <row r="292" spans="1:51" x14ac:dyDescent="0.2">
      <c r="A292" s="21" t="s">
        <v>762</v>
      </c>
      <c r="B292" s="20">
        <v>1</v>
      </c>
      <c r="C292" s="20"/>
      <c r="D292" s="20">
        <v>6</v>
      </c>
      <c r="E292" s="20">
        <v>7</v>
      </c>
      <c r="F292" s="20"/>
      <c r="G292" s="20"/>
      <c r="H292" s="20"/>
      <c r="I292" s="20"/>
      <c r="J292" s="20"/>
      <c r="K292" s="20"/>
      <c r="L292" s="20"/>
      <c r="M292" s="20"/>
      <c r="N292" s="17"/>
      <c r="O292" s="17"/>
      <c r="P292" s="17"/>
      <c r="Q292" s="17"/>
      <c r="R292" s="17"/>
      <c r="S292" s="17"/>
      <c r="T292" s="17"/>
      <c r="U292" s="17"/>
      <c r="V292" s="17"/>
      <c r="W292" s="17"/>
      <c r="X292" s="17"/>
      <c r="Y292" s="17"/>
      <c r="Z292" s="17"/>
      <c r="AA292" s="17"/>
      <c r="AB292" s="17"/>
      <c r="AC292" s="17"/>
      <c r="AD292" s="17"/>
      <c r="AE292" s="17"/>
      <c r="AF292" s="17"/>
      <c r="AG292" s="17"/>
      <c r="AH292" s="17"/>
      <c r="AI292" s="17"/>
      <c r="AJ292" s="17"/>
      <c r="AK292" s="17"/>
      <c r="AL292" s="17"/>
      <c r="AM292" s="17"/>
      <c r="AN292" s="17"/>
      <c r="AO292" s="17"/>
      <c r="AP292" s="17"/>
      <c r="AQ292" s="17"/>
      <c r="AR292" s="17"/>
      <c r="AS292" s="17"/>
      <c r="AT292" s="17"/>
      <c r="AU292" s="17"/>
      <c r="AV292" s="17"/>
      <c r="AW292" s="17"/>
      <c r="AX292" s="17"/>
      <c r="AY292" s="17"/>
    </row>
    <row r="293" spans="1:51" x14ac:dyDescent="0.2">
      <c r="A293" s="21" t="s">
        <v>265</v>
      </c>
      <c r="B293" s="20"/>
      <c r="C293" s="20">
        <v>1</v>
      </c>
      <c r="D293" s="20"/>
      <c r="E293" s="20">
        <v>14</v>
      </c>
      <c r="F293" s="20"/>
      <c r="G293" s="20">
        <v>48</v>
      </c>
      <c r="H293" s="20"/>
      <c r="I293" s="20"/>
      <c r="J293" s="20"/>
      <c r="K293" s="20"/>
      <c r="L293" s="20"/>
      <c r="M293" s="20"/>
      <c r="N293" s="17"/>
      <c r="O293" s="17"/>
      <c r="P293" s="17"/>
      <c r="Q293" s="17"/>
      <c r="R293" s="17"/>
      <c r="S293" s="17"/>
      <c r="T293" s="17"/>
      <c r="U293" s="17"/>
      <c r="V293" s="17"/>
      <c r="W293" s="17"/>
      <c r="X293" s="17"/>
      <c r="Y293" s="17"/>
      <c r="Z293" s="17"/>
      <c r="AA293" s="17"/>
      <c r="AB293" s="17"/>
      <c r="AC293" s="17"/>
      <c r="AD293" s="17"/>
      <c r="AE293" s="17"/>
      <c r="AF293" s="17"/>
      <c r="AG293" s="17"/>
      <c r="AH293" s="17"/>
      <c r="AI293" s="17"/>
      <c r="AJ293" s="17"/>
      <c r="AK293" s="17"/>
      <c r="AL293" s="17"/>
      <c r="AM293" s="17"/>
      <c r="AN293" s="17"/>
      <c r="AO293" s="17"/>
      <c r="AP293" s="17"/>
      <c r="AQ293" s="17"/>
      <c r="AR293" s="17"/>
      <c r="AS293" s="17"/>
      <c r="AT293" s="17"/>
      <c r="AU293" s="17"/>
      <c r="AV293" s="17"/>
      <c r="AW293" s="17"/>
      <c r="AX293" s="17"/>
      <c r="AY293" s="17"/>
    </row>
    <row r="294" spans="1:51" x14ac:dyDescent="0.2">
      <c r="A294" s="21" t="s">
        <v>684</v>
      </c>
      <c r="B294" s="20"/>
      <c r="C294" s="20">
        <v>1</v>
      </c>
      <c r="D294" s="20"/>
      <c r="E294" s="20">
        <v>8</v>
      </c>
      <c r="F294" s="20"/>
      <c r="G294" s="20"/>
      <c r="H294" s="20"/>
      <c r="I294" s="20"/>
      <c r="J294" s="20"/>
      <c r="K294" s="20"/>
      <c r="L294" s="20"/>
      <c r="M294" s="20"/>
      <c r="N294" s="17"/>
      <c r="O294" s="17"/>
      <c r="P294" s="17"/>
      <c r="Q294" s="17"/>
      <c r="R294" s="17"/>
      <c r="S294" s="17"/>
      <c r="T294" s="17"/>
      <c r="U294" s="17"/>
      <c r="V294" s="17"/>
      <c r="W294" s="17"/>
      <c r="X294" s="17"/>
      <c r="Y294" s="17"/>
      <c r="Z294" s="17"/>
      <c r="AA294" s="17"/>
      <c r="AB294" s="17"/>
      <c r="AC294" s="17"/>
      <c r="AD294" s="17"/>
      <c r="AE294" s="17"/>
      <c r="AF294" s="17"/>
      <c r="AG294" s="17"/>
      <c r="AH294" s="17"/>
      <c r="AI294" s="17"/>
      <c r="AJ294" s="17"/>
      <c r="AK294" s="17"/>
      <c r="AL294" s="17"/>
      <c r="AM294" s="17"/>
      <c r="AN294" s="17"/>
      <c r="AO294" s="17"/>
      <c r="AP294" s="17"/>
      <c r="AQ294" s="17"/>
      <c r="AR294" s="17"/>
      <c r="AS294" s="17"/>
      <c r="AT294" s="17"/>
      <c r="AU294" s="17"/>
      <c r="AV294" s="17"/>
      <c r="AW294" s="17"/>
      <c r="AX294" s="17"/>
      <c r="AY294" s="17"/>
    </row>
    <row r="295" spans="1:51" x14ac:dyDescent="0.2">
      <c r="A295" s="21" t="s">
        <v>763</v>
      </c>
      <c r="B295" s="20"/>
      <c r="C295" s="20">
        <f>IF(Patch&lt;10,1,0)</f>
        <v>0</v>
      </c>
      <c r="D295" s="20"/>
      <c r="E295" s="20">
        <f>IF(Patch&lt;10,0,10)</f>
        <v>10</v>
      </c>
      <c r="F295" s="20"/>
      <c r="G295" s="20"/>
      <c r="H295" s="20"/>
      <c r="I295" s="20"/>
      <c r="J295" s="20">
        <f>IF(Patch&lt;10,0,5)</f>
        <v>5</v>
      </c>
      <c r="K295" s="20">
        <f>IF(Patch&lt;10,0,50)</f>
        <v>50</v>
      </c>
      <c r="L295" s="20"/>
      <c r="M295" s="20"/>
      <c r="N295" s="17"/>
      <c r="O295" s="17"/>
      <c r="P295" s="17"/>
      <c r="Q295" s="17"/>
      <c r="R295" s="17"/>
      <c r="S295" s="17"/>
      <c r="T295" s="17"/>
      <c r="U295" s="17"/>
      <c r="V295" s="17"/>
      <c r="W295" s="17"/>
      <c r="X295" s="17"/>
      <c r="Y295" s="17"/>
      <c r="Z295" s="17"/>
      <c r="AA295" s="17"/>
      <c r="AB295" s="17"/>
      <c r="AC295" s="17"/>
      <c r="AD295" s="17"/>
      <c r="AE295" s="17"/>
      <c r="AF295" s="17"/>
      <c r="AG295" s="17"/>
      <c r="AH295" s="17"/>
      <c r="AI295" s="17"/>
      <c r="AJ295" s="17"/>
      <c r="AK295" s="17"/>
      <c r="AL295" s="17"/>
      <c r="AM295" s="17"/>
      <c r="AN295" s="17"/>
      <c r="AO295" s="17"/>
      <c r="AP295" s="17"/>
      <c r="AQ295" s="17"/>
      <c r="AR295" s="17"/>
      <c r="AS295" s="17"/>
      <c r="AT295" s="17"/>
      <c r="AU295" s="17"/>
      <c r="AV295" s="17"/>
      <c r="AW295" s="17"/>
      <c r="AX295" s="17"/>
      <c r="AY295" s="17"/>
    </row>
    <row r="296" spans="1:51" x14ac:dyDescent="0.2">
      <c r="A296" s="21" t="s">
        <v>276</v>
      </c>
      <c r="B296" s="20">
        <v>1</v>
      </c>
      <c r="C296" s="20"/>
      <c r="D296" s="20"/>
      <c r="E296" s="20">
        <v>7</v>
      </c>
      <c r="F296" s="20"/>
      <c r="G296" s="20">
        <v>16</v>
      </c>
      <c r="H296" s="20"/>
      <c r="I296" s="20"/>
      <c r="J296" s="20"/>
      <c r="K296" s="20"/>
      <c r="L296" s="20"/>
      <c r="M296" s="20"/>
      <c r="N296" s="17"/>
      <c r="O296" s="17"/>
      <c r="P296" s="17"/>
      <c r="Q296" s="17"/>
      <c r="R296" s="17"/>
      <c r="S296" s="17"/>
      <c r="T296" s="17"/>
      <c r="U296" s="17"/>
      <c r="V296" s="17"/>
      <c r="W296" s="17"/>
      <c r="X296" s="17"/>
      <c r="Y296" s="17"/>
      <c r="Z296" s="17"/>
      <c r="AA296" s="17"/>
      <c r="AB296" s="17"/>
      <c r="AC296" s="17"/>
      <c r="AD296" s="17"/>
      <c r="AE296" s="17"/>
      <c r="AF296" s="17"/>
      <c r="AG296" s="17"/>
      <c r="AH296" s="17"/>
      <c r="AI296" s="17"/>
      <c r="AJ296" s="17"/>
      <c r="AK296" s="17"/>
      <c r="AL296" s="17"/>
      <c r="AM296" s="17"/>
      <c r="AN296" s="17"/>
      <c r="AO296" s="17"/>
      <c r="AP296" s="17"/>
      <c r="AQ296" s="17"/>
      <c r="AR296" s="17"/>
      <c r="AS296" s="17"/>
      <c r="AT296" s="17"/>
      <c r="AU296" s="17"/>
      <c r="AV296" s="17"/>
      <c r="AW296" s="17"/>
      <c r="AX296" s="17"/>
      <c r="AY296" s="17"/>
    </row>
    <row r="297" spans="1:51" x14ac:dyDescent="0.2">
      <c r="A297" s="21" t="s">
        <v>277</v>
      </c>
      <c r="B297" s="20"/>
      <c r="C297" s="20"/>
      <c r="D297" s="20">
        <v>12</v>
      </c>
      <c r="E297" s="20">
        <v>8</v>
      </c>
      <c r="F297" s="20">
        <v>11</v>
      </c>
      <c r="G297" s="20"/>
      <c r="H297" s="20"/>
      <c r="I297" s="20"/>
      <c r="J297" s="20"/>
      <c r="K297" s="20"/>
      <c r="L297" s="20"/>
      <c r="M297" s="20"/>
      <c r="N297" s="17"/>
      <c r="O297" s="17"/>
      <c r="P297" s="17"/>
      <c r="Q297" s="17"/>
      <c r="R297" s="17"/>
      <c r="S297" s="17"/>
      <c r="T297" s="17"/>
      <c r="U297" s="17"/>
      <c r="V297" s="17"/>
      <c r="W297" s="17"/>
      <c r="X297" s="17"/>
      <c r="Y297" s="17"/>
      <c r="Z297" s="17"/>
      <c r="AA297" s="17"/>
      <c r="AB297" s="17"/>
      <c r="AC297" s="17"/>
      <c r="AD297" s="17"/>
      <c r="AE297" s="17"/>
      <c r="AF297" s="17"/>
      <c r="AG297" s="17"/>
      <c r="AH297" s="17"/>
      <c r="AI297" s="17"/>
      <c r="AJ297" s="17"/>
      <c r="AK297" s="17"/>
      <c r="AL297" s="17"/>
      <c r="AM297" s="17"/>
      <c r="AN297" s="17"/>
      <c r="AO297" s="17"/>
      <c r="AP297" s="17"/>
      <c r="AQ297" s="17"/>
      <c r="AR297" s="17"/>
      <c r="AS297" s="17"/>
      <c r="AT297" s="17"/>
      <c r="AU297" s="17"/>
      <c r="AV297" s="17"/>
      <c r="AW297" s="17"/>
      <c r="AX297" s="17"/>
      <c r="AY297" s="17"/>
    </row>
    <row r="298" spans="1:51" x14ac:dyDescent="0.2">
      <c r="A298" s="21" t="s">
        <v>28</v>
      </c>
      <c r="B298" s="20">
        <v>1</v>
      </c>
      <c r="C298" s="20"/>
      <c r="D298" s="20">
        <v>5</v>
      </c>
      <c r="E298" s="20">
        <v>8</v>
      </c>
      <c r="F298" s="20"/>
      <c r="G298" s="20">
        <v>30</v>
      </c>
      <c r="H298" s="20"/>
      <c r="I298" s="20"/>
      <c r="J298" s="20"/>
      <c r="K298" s="20"/>
      <c r="L298" s="20"/>
      <c r="M298" s="20"/>
      <c r="N298" s="17"/>
      <c r="O298" s="17"/>
      <c r="P298" s="17"/>
      <c r="Q298" s="17"/>
      <c r="R298" s="17"/>
      <c r="S298" s="17"/>
      <c r="T298" s="17"/>
      <c r="U298" s="17"/>
      <c r="V298" s="17"/>
      <c r="W298" s="17"/>
      <c r="X298" s="17"/>
      <c r="Y298" s="17"/>
      <c r="Z298" s="17"/>
      <c r="AA298" s="17"/>
      <c r="AB298" s="17"/>
      <c r="AC298" s="17"/>
      <c r="AD298" s="17"/>
      <c r="AE298" s="17"/>
      <c r="AF298" s="17"/>
      <c r="AG298" s="17"/>
      <c r="AH298" s="17"/>
      <c r="AI298" s="17"/>
      <c r="AJ298" s="17"/>
      <c r="AK298" s="17"/>
      <c r="AL298" s="17"/>
      <c r="AM298" s="17"/>
      <c r="AN298" s="17"/>
      <c r="AO298" s="17"/>
      <c r="AP298" s="17"/>
      <c r="AQ298" s="17"/>
      <c r="AR298" s="17"/>
      <c r="AS298" s="17"/>
      <c r="AT298" s="17"/>
      <c r="AU298" s="17"/>
      <c r="AV298" s="17"/>
      <c r="AW298" s="17"/>
      <c r="AX298" s="17"/>
      <c r="AY298" s="17"/>
    </row>
    <row r="299" spans="1:51" x14ac:dyDescent="0.2">
      <c r="A299" s="21" t="s">
        <v>267</v>
      </c>
      <c r="B299" s="20"/>
      <c r="C299" s="20"/>
      <c r="D299" s="20"/>
      <c r="E299" s="20">
        <v>18</v>
      </c>
      <c r="F299" s="20">
        <v>12</v>
      </c>
      <c r="G299" s="20"/>
      <c r="H299" s="20"/>
      <c r="I299" s="20"/>
      <c r="J299" s="20">
        <v>9</v>
      </c>
      <c r="K299" s="20">
        <v>100</v>
      </c>
      <c r="L299" s="20"/>
      <c r="M299" s="20"/>
      <c r="N299" s="17"/>
      <c r="O299" s="17"/>
      <c r="P299" s="17"/>
      <c r="Q299" s="17"/>
      <c r="R299" s="17"/>
      <c r="S299" s="17"/>
      <c r="T299" s="17"/>
      <c r="U299" s="17"/>
      <c r="V299" s="17"/>
      <c r="W299" s="17"/>
      <c r="X299" s="17"/>
      <c r="Y299" s="17"/>
      <c r="Z299" s="17"/>
      <c r="AA299" s="17"/>
      <c r="AB299" s="17"/>
      <c r="AC299" s="17"/>
      <c r="AD299" s="17"/>
      <c r="AE299" s="17"/>
      <c r="AF299" s="17"/>
      <c r="AG299" s="17"/>
      <c r="AH299" s="17"/>
      <c r="AI299" s="17"/>
      <c r="AJ299" s="17"/>
      <c r="AK299" s="17"/>
      <c r="AL299" s="17"/>
      <c r="AM299" s="17"/>
      <c r="AN299" s="17"/>
      <c r="AO299" s="17"/>
      <c r="AP299" s="17"/>
      <c r="AQ299" s="17"/>
      <c r="AR299" s="17"/>
      <c r="AS299" s="17"/>
      <c r="AT299" s="17"/>
      <c r="AU299" s="17"/>
      <c r="AV299" s="17"/>
      <c r="AW299" s="17"/>
      <c r="AX299" s="17"/>
      <c r="AY299" s="17"/>
    </row>
    <row r="300" spans="1:51" x14ac:dyDescent="0.2">
      <c r="A300" s="21" t="s">
        <v>271</v>
      </c>
      <c r="B300" s="20"/>
      <c r="C300" s="20">
        <v>1</v>
      </c>
      <c r="D300" s="20"/>
      <c r="E300" s="20">
        <v>9</v>
      </c>
      <c r="F300" s="20"/>
      <c r="G300" s="20">
        <v>30</v>
      </c>
      <c r="H300" s="20"/>
      <c r="I300" s="20"/>
      <c r="J300" s="20"/>
      <c r="K300" s="20"/>
      <c r="L300" s="20"/>
      <c r="M300" s="20"/>
      <c r="N300" s="17"/>
      <c r="O300" s="17"/>
      <c r="P300" s="17"/>
      <c r="Q300" s="17"/>
      <c r="R300" s="17"/>
      <c r="S300" s="17"/>
      <c r="T300" s="17"/>
      <c r="U300" s="17"/>
      <c r="V300" s="17"/>
      <c r="W300" s="17"/>
      <c r="X300" s="17"/>
      <c r="Y300" s="17"/>
      <c r="Z300" s="17"/>
      <c r="AA300" s="17"/>
      <c r="AB300" s="17"/>
      <c r="AC300" s="17"/>
      <c r="AD300" s="17"/>
      <c r="AE300" s="17"/>
      <c r="AF300" s="17"/>
      <c r="AG300" s="17"/>
      <c r="AH300" s="17"/>
      <c r="AI300" s="17"/>
      <c r="AJ300" s="17"/>
      <c r="AK300" s="17"/>
      <c r="AL300" s="17"/>
      <c r="AM300" s="17"/>
      <c r="AN300" s="17"/>
      <c r="AO300" s="17"/>
      <c r="AP300" s="17"/>
      <c r="AQ300" s="17"/>
      <c r="AR300" s="17"/>
      <c r="AS300" s="17"/>
      <c r="AT300" s="17"/>
      <c r="AU300" s="17"/>
      <c r="AV300" s="17"/>
      <c r="AW300" s="17"/>
      <c r="AX300" s="17"/>
      <c r="AY300" s="17"/>
    </row>
    <row r="301" spans="1:51" x14ac:dyDescent="0.2">
      <c r="A301" s="21" t="s">
        <v>264</v>
      </c>
      <c r="B301" s="20"/>
      <c r="C301" s="20"/>
      <c r="D301" s="20"/>
      <c r="E301" s="20">
        <v>17</v>
      </c>
      <c r="F301" s="20">
        <v>27</v>
      </c>
      <c r="G301" s="20"/>
      <c r="H301" s="20"/>
      <c r="I301" s="20"/>
      <c r="J301" s="20"/>
      <c r="K301" s="20"/>
      <c r="L301" s="20"/>
      <c r="M301" s="20"/>
      <c r="N301" s="17"/>
      <c r="O301" s="17"/>
      <c r="P301" s="17"/>
      <c r="Q301" s="17"/>
      <c r="R301" s="17"/>
      <c r="S301" s="17"/>
      <c r="T301" s="17"/>
      <c r="U301" s="17"/>
      <c r="V301" s="17"/>
      <c r="W301" s="17"/>
      <c r="X301" s="17"/>
      <c r="Y301" s="17"/>
      <c r="Z301" s="17"/>
      <c r="AA301" s="17"/>
      <c r="AB301" s="17"/>
      <c r="AC301" s="17"/>
      <c r="AD301" s="17"/>
      <c r="AE301" s="17"/>
      <c r="AF301" s="17"/>
      <c r="AG301" s="17"/>
      <c r="AH301" s="17"/>
      <c r="AI301" s="17"/>
      <c r="AJ301" s="17"/>
      <c r="AK301" s="17"/>
      <c r="AL301" s="17"/>
      <c r="AM301" s="17"/>
      <c r="AN301" s="17"/>
      <c r="AO301" s="17"/>
      <c r="AP301" s="17"/>
      <c r="AQ301" s="17"/>
      <c r="AR301" s="17"/>
      <c r="AS301" s="17"/>
      <c r="AT301" s="17"/>
      <c r="AU301" s="17"/>
      <c r="AV301" s="17"/>
      <c r="AW301" s="17"/>
      <c r="AX301" s="17"/>
      <c r="AY301" s="17"/>
    </row>
    <row r="302" spans="1:51" x14ac:dyDescent="0.2">
      <c r="A302" s="21" t="s">
        <v>27</v>
      </c>
      <c r="B302" s="20">
        <v>1</v>
      </c>
      <c r="C302" s="20"/>
      <c r="D302" s="20"/>
      <c r="E302" s="20">
        <v>12</v>
      </c>
      <c r="F302" s="20"/>
      <c r="G302" s="20">
        <v>40</v>
      </c>
      <c r="H302" s="20"/>
      <c r="I302" s="20"/>
      <c r="J302" s="20"/>
      <c r="K302" s="20"/>
      <c r="L302" s="20"/>
      <c r="M302" s="20"/>
      <c r="N302" s="17"/>
      <c r="O302" s="17"/>
      <c r="P302" s="17"/>
      <c r="Q302" s="17"/>
      <c r="R302" s="17"/>
      <c r="S302" s="17"/>
      <c r="T302" s="17"/>
      <c r="U302" s="17"/>
      <c r="V302" s="17"/>
      <c r="W302" s="17"/>
      <c r="X302" s="17"/>
      <c r="Y302" s="17"/>
      <c r="Z302" s="17"/>
      <c r="AA302" s="17"/>
      <c r="AB302" s="17"/>
      <c r="AC302" s="17"/>
      <c r="AD302" s="17"/>
      <c r="AE302" s="17"/>
      <c r="AF302" s="17"/>
      <c r="AG302" s="17"/>
      <c r="AH302" s="17"/>
      <c r="AI302" s="17"/>
      <c r="AJ302" s="17"/>
      <c r="AK302" s="17"/>
      <c r="AL302" s="17"/>
      <c r="AM302" s="17"/>
      <c r="AN302" s="17"/>
      <c r="AO302" s="17"/>
      <c r="AP302" s="17"/>
      <c r="AQ302" s="17"/>
      <c r="AR302" s="17"/>
      <c r="AS302" s="17"/>
      <c r="AT302" s="17"/>
      <c r="AU302" s="17"/>
      <c r="AV302" s="17"/>
      <c r="AW302" s="17"/>
      <c r="AX302" s="17"/>
      <c r="AY302" s="17"/>
    </row>
    <row r="303" spans="1:51" x14ac:dyDescent="0.2">
      <c r="A303" s="21" t="s">
        <v>273</v>
      </c>
      <c r="B303" s="20">
        <v>1</v>
      </c>
      <c r="C303" s="20"/>
      <c r="D303" s="20"/>
      <c r="E303" s="20">
        <v>8</v>
      </c>
      <c r="F303" s="20"/>
      <c r="G303" s="20">
        <v>20</v>
      </c>
      <c r="H303" s="20"/>
      <c r="I303" s="20"/>
      <c r="J303" s="20"/>
      <c r="K303" s="20"/>
      <c r="L303" s="20"/>
      <c r="M303" s="20"/>
      <c r="N303" s="17"/>
      <c r="O303" s="17"/>
      <c r="P303" s="17"/>
      <c r="Q303" s="17"/>
      <c r="R303" s="17"/>
      <c r="S303" s="17"/>
      <c r="T303" s="17"/>
      <c r="U303" s="17"/>
      <c r="V303" s="17"/>
      <c r="W303" s="17"/>
      <c r="X303" s="17"/>
      <c r="Y303" s="17"/>
      <c r="Z303" s="17"/>
      <c r="AA303" s="17"/>
      <c r="AB303" s="17"/>
      <c r="AC303" s="17"/>
      <c r="AD303" s="17"/>
      <c r="AE303" s="17"/>
      <c r="AF303" s="17"/>
      <c r="AG303" s="17"/>
      <c r="AH303" s="17"/>
      <c r="AI303" s="17"/>
      <c r="AJ303" s="17"/>
      <c r="AK303" s="17"/>
      <c r="AL303" s="17"/>
      <c r="AM303" s="17"/>
      <c r="AN303" s="17"/>
      <c r="AO303" s="17"/>
      <c r="AP303" s="17"/>
      <c r="AQ303" s="17"/>
      <c r="AR303" s="17"/>
      <c r="AS303" s="17"/>
      <c r="AT303" s="17"/>
      <c r="AU303" s="17"/>
      <c r="AV303" s="17"/>
      <c r="AW303" s="17"/>
      <c r="AX303" s="17"/>
      <c r="AY303" s="17"/>
    </row>
    <row r="304" spans="1:51" x14ac:dyDescent="0.2">
      <c r="A304" s="21" t="s">
        <v>522</v>
      </c>
      <c r="B304" s="20"/>
      <c r="C304" s="20"/>
      <c r="D304" s="20"/>
      <c r="E304" s="20">
        <v>13</v>
      </c>
      <c r="F304" s="20"/>
      <c r="G304" s="20">
        <v>40</v>
      </c>
      <c r="H304" s="20"/>
      <c r="I304" s="20"/>
      <c r="J304" s="20"/>
      <c r="K304" s="20"/>
      <c r="L304" s="20"/>
      <c r="M304" s="20"/>
      <c r="N304" s="17"/>
      <c r="O304" s="17"/>
      <c r="P304" s="17"/>
      <c r="Q304" s="17"/>
      <c r="R304" s="17"/>
      <c r="S304" s="17"/>
      <c r="T304" s="17"/>
      <c r="U304" s="17"/>
      <c r="V304" s="17"/>
      <c r="W304" s="17"/>
      <c r="X304" s="17"/>
      <c r="Y304" s="17"/>
      <c r="Z304" s="17"/>
      <c r="AA304" s="17"/>
      <c r="AB304" s="17"/>
      <c r="AC304" s="17"/>
      <c r="AD304" s="17"/>
      <c r="AE304" s="17"/>
      <c r="AF304" s="17"/>
      <c r="AG304" s="17"/>
      <c r="AH304" s="17"/>
      <c r="AI304" s="17"/>
      <c r="AJ304" s="17"/>
      <c r="AK304" s="17"/>
      <c r="AL304" s="17"/>
      <c r="AM304" s="17"/>
      <c r="AN304" s="17"/>
      <c r="AO304" s="17"/>
      <c r="AP304" s="17"/>
      <c r="AQ304" s="17"/>
      <c r="AR304" s="17"/>
      <c r="AS304" s="17"/>
      <c r="AT304" s="17"/>
      <c r="AU304" s="17"/>
      <c r="AV304" s="17"/>
      <c r="AW304" s="17"/>
      <c r="AX304" s="17"/>
      <c r="AY304" s="17"/>
    </row>
    <row r="305" spans="1:51" x14ac:dyDescent="0.2">
      <c r="A305" s="21" t="s">
        <v>404</v>
      </c>
      <c r="B305" s="20"/>
      <c r="C305" s="20">
        <v>1</v>
      </c>
      <c r="D305" s="20"/>
      <c r="E305" s="20">
        <v>24</v>
      </c>
      <c r="F305" s="20"/>
      <c r="G305" s="20"/>
      <c r="H305" s="20"/>
      <c r="I305" s="20"/>
      <c r="J305" s="20"/>
      <c r="K305" s="20">
        <v>140</v>
      </c>
      <c r="L305" s="20"/>
      <c r="M305" s="20"/>
      <c r="N305" s="17"/>
      <c r="O305" s="17"/>
      <c r="P305" s="17"/>
      <c r="Q305" s="17"/>
      <c r="R305" s="17"/>
      <c r="S305" s="17"/>
      <c r="T305" s="17"/>
      <c r="U305" s="17"/>
      <c r="V305" s="17"/>
      <c r="W305" s="17"/>
      <c r="X305" s="17"/>
      <c r="Y305" s="17"/>
      <c r="Z305" s="17"/>
      <c r="AA305" s="17"/>
      <c r="AB305" s="17"/>
      <c r="AC305" s="17"/>
      <c r="AD305" s="17"/>
      <c r="AE305" s="17"/>
      <c r="AF305" s="17"/>
      <c r="AG305" s="17"/>
      <c r="AH305" s="17"/>
      <c r="AI305" s="17"/>
      <c r="AJ305" s="17"/>
      <c r="AK305" s="17"/>
      <c r="AL305" s="17"/>
      <c r="AM305" s="17"/>
      <c r="AN305" s="17"/>
      <c r="AO305" s="17"/>
      <c r="AP305" s="17"/>
      <c r="AQ305" s="17"/>
      <c r="AR305" s="17"/>
      <c r="AS305" s="17"/>
      <c r="AT305" s="17"/>
      <c r="AU305" s="17"/>
      <c r="AV305" s="17"/>
      <c r="AW305" s="17"/>
      <c r="AX305" s="17"/>
      <c r="AY305" s="17"/>
    </row>
    <row r="306" spans="1:51" x14ac:dyDescent="0.2">
      <c r="A306" s="21" t="s">
        <v>272</v>
      </c>
      <c r="B306" s="20">
        <v>1</v>
      </c>
      <c r="C306" s="20"/>
      <c r="D306" s="20">
        <f>IF(Patch&lt;11,10,11)</f>
        <v>11</v>
      </c>
      <c r="E306" s="20">
        <f>IF(Patch&lt;11,8,14)</f>
        <v>14</v>
      </c>
      <c r="F306" s="20"/>
      <c r="G306" s="20"/>
      <c r="H306" s="20"/>
      <c r="I306" s="20"/>
      <c r="J306" s="20"/>
      <c r="K306" s="20"/>
      <c r="L306" s="20"/>
      <c r="M306" s="20"/>
      <c r="N306" s="17"/>
      <c r="O306" s="17"/>
      <c r="P306" s="17"/>
      <c r="Q306" s="17"/>
      <c r="R306" s="17"/>
      <c r="S306" s="17"/>
      <c r="T306" s="17"/>
      <c r="U306" s="17"/>
      <c r="V306" s="17"/>
      <c r="W306" s="17"/>
      <c r="X306" s="17"/>
      <c r="Y306" s="17"/>
      <c r="Z306" s="17"/>
      <c r="AA306" s="17"/>
      <c r="AB306" s="17"/>
      <c r="AC306" s="17"/>
      <c r="AD306" s="17"/>
      <c r="AE306" s="17"/>
      <c r="AF306" s="17"/>
      <c r="AG306" s="17"/>
      <c r="AH306" s="17"/>
      <c r="AI306" s="17"/>
      <c r="AJ306" s="17"/>
      <c r="AK306" s="17"/>
      <c r="AL306" s="17"/>
      <c r="AM306" s="17"/>
      <c r="AN306" s="17"/>
      <c r="AO306" s="17"/>
      <c r="AP306" s="17"/>
      <c r="AQ306" s="17"/>
      <c r="AR306" s="17"/>
      <c r="AS306" s="17"/>
      <c r="AT306" s="17"/>
      <c r="AU306" s="17"/>
      <c r="AV306" s="17"/>
      <c r="AW306" s="17"/>
      <c r="AX306" s="17"/>
      <c r="AY306" s="17"/>
    </row>
    <row r="307" spans="1:51" x14ac:dyDescent="0.2">
      <c r="A307" s="21" t="s">
        <v>268</v>
      </c>
      <c r="B307" s="20"/>
      <c r="C307" s="20">
        <v>1</v>
      </c>
      <c r="D307" s="20"/>
      <c r="E307" s="20">
        <v>13</v>
      </c>
      <c r="F307" s="20">
        <v>24</v>
      </c>
      <c r="G307" s="20"/>
      <c r="H307" s="20"/>
      <c r="I307" s="20"/>
      <c r="J307" s="20"/>
      <c r="K307" s="20"/>
      <c r="L307" s="20"/>
      <c r="M307" s="20"/>
      <c r="N307" s="17"/>
      <c r="O307" s="17"/>
      <c r="P307" s="17"/>
      <c r="Q307" s="17"/>
      <c r="R307" s="17"/>
      <c r="S307" s="17"/>
      <c r="T307" s="17"/>
      <c r="U307" s="17"/>
      <c r="V307" s="17"/>
      <c r="W307" s="17"/>
      <c r="X307" s="17"/>
      <c r="Y307" s="17"/>
      <c r="Z307" s="17"/>
      <c r="AA307" s="17"/>
      <c r="AB307" s="17"/>
      <c r="AC307" s="17"/>
      <c r="AD307" s="17"/>
      <c r="AE307" s="17"/>
      <c r="AF307" s="17"/>
      <c r="AG307" s="17"/>
      <c r="AH307" s="17"/>
      <c r="AI307" s="17"/>
      <c r="AJ307" s="17"/>
      <c r="AK307" s="17"/>
      <c r="AL307" s="17"/>
      <c r="AM307" s="17"/>
      <c r="AN307" s="17"/>
      <c r="AO307" s="17"/>
      <c r="AP307" s="17"/>
      <c r="AQ307" s="17"/>
      <c r="AR307" s="17"/>
      <c r="AS307" s="17"/>
      <c r="AT307" s="17"/>
      <c r="AU307" s="17"/>
      <c r="AV307" s="17"/>
      <c r="AW307" s="17"/>
      <c r="AX307" s="17"/>
      <c r="AY307" s="17"/>
    </row>
    <row r="308" spans="1:51" x14ac:dyDescent="0.2">
      <c r="A308" s="21" t="s">
        <v>661</v>
      </c>
      <c r="B308" s="20"/>
      <c r="C308" s="20">
        <v>1</v>
      </c>
      <c r="D308" s="20"/>
      <c r="E308" s="20"/>
      <c r="F308" s="20">
        <v>15</v>
      </c>
      <c r="G308" s="20"/>
      <c r="H308" s="20"/>
      <c r="I308" s="20"/>
      <c r="J308" s="20"/>
      <c r="K308" s="20"/>
      <c r="L308" s="20"/>
      <c r="M308" s="20"/>
      <c r="N308" s="17"/>
      <c r="O308" s="17"/>
      <c r="P308" s="17"/>
      <c r="Q308" s="17"/>
      <c r="R308" s="17"/>
      <c r="S308" s="17"/>
      <c r="T308" s="17"/>
      <c r="U308" s="17"/>
      <c r="V308" s="17"/>
      <c r="W308" s="17"/>
      <c r="X308" s="17"/>
      <c r="Y308" s="17"/>
      <c r="Z308" s="17"/>
      <c r="AA308" s="17"/>
      <c r="AB308" s="17"/>
      <c r="AC308" s="17"/>
      <c r="AD308" s="17"/>
      <c r="AE308" s="17"/>
      <c r="AF308" s="17"/>
      <c r="AG308" s="17"/>
      <c r="AH308" s="17"/>
      <c r="AI308" s="17"/>
      <c r="AJ308" s="17"/>
      <c r="AK308" s="17"/>
      <c r="AL308" s="17"/>
      <c r="AM308" s="17"/>
      <c r="AN308" s="17"/>
      <c r="AO308" s="17"/>
      <c r="AP308" s="17"/>
      <c r="AQ308" s="17"/>
      <c r="AR308" s="17"/>
      <c r="AS308" s="17"/>
      <c r="AT308" s="17"/>
      <c r="AU308" s="17"/>
      <c r="AV308" s="17"/>
      <c r="AW308" s="17"/>
      <c r="AX308" s="17"/>
      <c r="AY308" s="17"/>
    </row>
    <row r="309" spans="1:51" x14ac:dyDescent="0.2">
      <c r="A309" s="24"/>
      <c r="B309" s="23"/>
      <c r="C309" s="23"/>
      <c r="D309" s="23"/>
      <c r="E309" s="23"/>
      <c r="F309" s="23"/>
      <c r="G309" s="23"/>
      <c r="H309" s="23"/>
      <c r="I309" s="23"/>
      <c r="J309" s="23"/>
      <c r="K309" s="23"/>
      <c r="L309" s="23"/>
      <c r="M309" s="23"/>
      <c r="N309" s="17"/>
      <c r="O309" s="17"/>
      <c r="P309" s="17"/>
      <c r="Q309" s="17"/>
      <c r="R309" s="17"/>
      <c r="S309" s="17"/>
      <c r="T309" s="17"/>
      <c r="U309" s="17"/>
      <c r="V309" s="17"/>
      <c r="W309" s="17"/>
      <c r="X309" s="17"/>
      <c r="Y309" s="17"/>
      <c r="Z309" s="17"/>
      <c r="AA309" s="17"/>
      <c r="AB309" s="17"/>
      <c r="AC309" s="17"/>
      <c r="AD309" s="17"/>
      <c r="AE309" s="17"/>
      <c r="AF309" s="17"/>
      <c r="AG309" s="17"/>
      <c r="AH309" s="17"/>
      <c r="AI309" s="17"/>
      <c r="AJ309" s="17"/>
      <c r="AK309" s="17"/>
      <c r="AL309" s="17"/>
      <c r="AM309" s="17"/>
      <c r="AN309" s="17"/>
      <c r="AO309" s="17"/>
      <c r="AP309" s="17"/>
      <c r="AQ309" s="17"/>
      <c r="AR309" s="17"/>
      <c r="AS309" s="17"/>
      <c r="AT309" s="17"/>
      <c r="AU309" s="17"/>
      <c r="AV309" s="17"/>
      <c r="AW309" s="17"/>
      <c r="AX309" s="17"/>
      <c r="AY309" s="17"/>
    </row>
    <row r="310" spans="1:51" x14ac:dyDescent="0.2">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c r="AB310" s="17"/>
      <c r="AC310" s="17"/>
      <c r="AD310" s="17"/>
      <c r="AE310" s="17"/>
      <c r="AF310" s="17"/>
      <c r="AG310" s="17"/>
      <c r="AH310" s="17"/>
      <c r="AI310" s="17"/>
      <c r="AJ310" s="17"/>
      <c r="AK310" s="17"/>
      <c r="AL310" s="17"/>
      <c r="AM310" s="17"/>
      <c r="AN310" s="17"/>
      <c r="AO310" s="17"/>
      <c r="AP310" s="17"/>
      <c r="AQ310" s="17"/>
      <c r="AR310" s="17"/>
      <c r="AS310" s="17"/>
      <c r="AT310" s="17"/>
      <c r="AU310" s="17"/>
      <c r="AV310" s="17"/>
      <c r="AW310" s="17"/>
      <c r="AX310" s="17"/>
      <c r="AY310" s="17"/>
    </row>
    <row r="311" spans="1:51" x14ac:dyDescent="0.2">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c r="AB311" s="17"/>
      <c r="AC311" s="17"/>
      <c r="AD311" s="17"/>
      <c r="AE311" s="17"/>
      <c r="AF311" s="17"/>
      <c r="AG311" s="17"/>
      <c r="AH311" s="17"/>
      <c r="AI311" s="17"/>
      <c r="AJ311" s="17"/>
      <c r="AK311" s="17"/>
      <c r="AL311" s="17"/>
      <c r="AM311" s="17"/>
      <c r="AN311" s="17"/>
      <c r="AO311" s="17"/>
      <c r="AP311" s="17"/>
      <c r="AQ311" s="17"/>
      <c r="AR311" s="17"/>
      <c r="AS311" s="17"/>
      <c r="AT311" s="17"/>
      <c r="AU311" s="17"/>
      <c r="AV311" s="17"/>
      <c r="AW311" s="17"/>
      <c r="AX311" s="17"/>
      <c r="AY311" s="17"/>
    </row>
    <row r="312" spans="1:51" x14ac:dyDescent="0.2">
      <c r="A312" s="171" t="s">
        <v>29</v>
      </c>
      <c r="B312" s="171"/>
      <c r="C312" s="171"/>
      <c r="D312" s="171"/>
      <c r="E312" s="171"/>
      <c r="F312" s="171"/>
      <c r="G312" s="171"/>
      <c r="H312" s="171"/>
      <c r="I312" s="171"/>
      <c r="J312" s="171"/>
      <c r="K312" s="171"/>
      <c r="L312" s="171"/>
      <c r="M312" s="171"/>
      <c r="N312" s="17"/>
      <c r="O312" s="17"/>
      <c r="P312" s="17"/>
      <c r="Q312" s="17"/>
      <c r="R312" s="17"/>
      <c r="S312" s="17"/>
      <c r="T312" s="17"/>
      <c r="U312" s="17"/>
      <c r="V312" s="17"/>
      <c r="W312" s="17"/>
      <c r="X312" s="17"/>
      <c r="Y312" s="17"/>
      <c r="Z312" s="17"/>
      <c r="AA312" s="17"/>
      <c r="AB312" s="17"/>
      <c r="AC312" s="17"/>
      <c r="AD312" s="17"/>
      <c r="AE312" s="17"/>
      <c r="AF312" s="17"/>
      <c r="AG312" s="17"/>
      <c r="AH312" s="17"/>
      <c r="AI312" s="17"/>
      <c r="AJ312" s="17"/>
      <c r="AK312" s="17"/>
      <c r="AL312" s="17"/>
      <c r="AM312" s="17"/>
      <c r="AN312" s="17"/>
      <c r="AO312" s="17"/>
      <c r="AP312" s="17"/>
      <c r="AQ312" s="17"/>
      <c r="AR312" s="17"/>
      <c r="AS312" s="17"/>
      <c r="AT312" s="17"/>
      <c r="AU312" s="17"/>
      <c r="AV312" s="17"/>
      <c r="AW312" s="17"/>
      <c r="AX312" s="17"/>
      <c r="AY312" s="17"/>
    </row>
    <row r="313" spans="1:51" ht="12.75" customHeight="1" x14ac:dyDescent="0.2">
      <c r="A313" s="172"/>
      <c r="B313" s="172"/>
      <c r="C313" s="172"/>
      <c r="D313" s="172"/>
      <c r="E313" s="172"/>
      <c r="F313" s="172"/>
      <c r="G313" s="172"/>
      <c r="H313" s="172"/>
      <c r="I313" s="172"/>
      <c r="J313" s="172"/>
      <c r="K313" s="172"/>
      <c r="L313" s="172"/>
      <c r="M313" s="172"/>
      <c r="N313" s="17"/>
      <c r="O313" s="17"/>
      <c r="P313" s="17"/>
      <c r="Q313" s="17"/>
      <c r="R313" s="17"/>
      <c r="S313" s="17"/>
      <c r="T313" s="17"/>
      <c r="U313" s="17"/>
      <c r="V313" s="17"/>
      <c r="W313" s="17"/>
      <c r="X313" s="17"/>
      <c r="Y313" s="17"/>
      <c r="Z313" s="17"/>
      <c r="AA313" s="17"/>
      <c r="AB313" s="17"/>
      <c r="AC313" s="17"/>
      <c r="AD313" s="17"/>
      <c r="AE313" s="17"/>
      <c r="AF313" s="17"/>
      <c r="AG313" s="17"/>
      <c r="AH313" s="17"/>
      <c r="AI313" s="17"/>
      <c r="AJ313" s="17"/>
      <c r="AK313" s="17"/>
      <c r="AL313" s="17"/>
      <c r="AM313" s="17"/>
      <c r="AN313" s="17"/>
      <c r="AO313" s="17"/>
      <c r="AP313" s="17"/>
      <c r="AQ313" s="17"/>
      <c r="AR313" s="17"/>
      <c r="AS313" s="17"/>
      <c r="AT313" s="17"/>
      <c r="AU313" s="17"/>
      <c r="AV313" s="17"/>
      <c r="AW313" s="17"/>
      <c r="AX313" s="17"/>
      <c r="AY313" s="17"/>
    </row>
    <row r="314" spans="1:51" ht="12.75" customHeight="1" x14ac:dyDescent="0.2">
      <c r="A314" s="22" t="s">
        <v>0</v>
      </c>
      <c r="B314" s="22" t="s">
        <v>1</v>
      </c>
      <c r="C314" s="22" t="s">
        <v>2</v>
      </c>
      <c r="D314" s="22" t="s">
        <v>3</v>
      </c>
      <c r="E314" s="22" t="s">
        <v>4</v>
      </c>
      <c r="F314" s="22" t="s">
        <v>5</v>
      </c>
      <c r="G314" s="22" t="s">
        <v>6</v>
      </c>
      <c r="H314" s="22" t="s">
        <v>140</v>
      </c>
      <c r="I314" s="22" t="s">
        <v>156</v>
      </c>
      <c r="J314" s="22" t="s">
        <v>157</v>
      </c>
      <c r="K314" s="22" t="s">
        <v>7</v>
      </c>
      <c r="L314" s="22" t="s">
        <v>9</v>
      </c>
      <c r="M314" s="22" t="s">
        <v>736</v>
      </c>
      <c r="N314" s="17"/>
      <c r="O314" s="17"/>
      <c r="P314" s="17"/>
      <c r="Q314" s="17"/>
      <c r="R314" s="17"/>
      <c r="S314" s="17"/>
      <c r="T314" s="17"/>
      <c r="U314" s="17"/>
      <c r="V314" s="17"/>
      <c r="W314" s="17"/>
      <c r="X314" s="17"/>
      <c r="Y314" s="17"/>
      <c r="Z314" s="17"/>
      <c r="AA314" s="17"/>
      <c r="AB314" s="17"/>
      <c r="AC314" s="17"/>
      <c r="AD314" s="17"/>
      <c r="AE314" s="17"/>
      <c r="AF314" s="17"/>
      <c r="AG314" s="17"/>
      <c r="AH314" s="17"/>
      <c r="AI314" s="17"/>
      <c r="AJ314" s="17"/>
      <c r="AK314" s="17"/>
      <c r="AL314" s="17"/>
      <c r="AM314" s="17"/>
      <c r="AN314" s="17"/>
      <c r="AO314" s="17"/>
      <c r="AP314" s="17"/>
      <c r="AQ314" s="17"/>
      <c r="AR314" s="17"/>
      <c r="AS314" s="17"/>
      <c r="AT314" s="17"/>
      <c r="AU314" s="17"/>
      <c r="AV314" s="17"/>
      <c r="AW314" s="17"/>
      <c r="AX314" s="17"/>
      <c r="AY314" s="17"/>
    </row>
    <row r="315" spans="1:51" x14ac:dyDescent="0.2">
      <c r="A315" s="21" t="s">
        <v>393</v>
      </c>
      <c r="B315" s="19"/>
      <c r="C315" s="19"/>
      <c r="D315" s="19"/>
      <c r="E315" s="19"/>
      <c r="F315" s="19"/>
      <c r="G315" s="19"/>
      <c r="H315" s="19"/>
      <c r="I315" s="19"/>
      <c r="J315" s="19"/>
      <c r="K315" s="19"/>
      <c r="L315" s="19"/>
      <c r="M315" s="19"/>
      <c r="N315" s="17"/>
      <c r="O315" s="17"/>
      <c r="P315" s="17"/>
      <c r="Q315" s="17"/>
      <c r="R315" s="17"/>
      <c r="S315" s="17"/>
      <c r="T315" s="17"/>
      <c r="U315" s="17"/>
      <c r="V315" s="17"/>
      <c r="W315" s="17"/>
      <c r="X315" s="17"/>
      <c r="Y315" s="17"/>
      <c r="Z315" s="17"/>
      <c r="AA315" s="17"/>
      <c r="AB315" s="17"/>
      <c r="AC315" s="17"/>
      <c r="AD315" s="17"/>
      <c r="AE315" s="17"/>
      <c r="AF315" s="17"/>
      <c r="AG315" s="17"/>
      <c r="AH315" s="17"/>
      <c r="AI315" s="17"/>
      <c r="AJ315" s="17"/>
      <c r="AK315" s="17"/>
      <c r="AL315" s="17"/>
      <c r="AM315" s="17"/>
      <c r="AN315" s="17"/>
      <c r="AO315" s="17"/>
      <c r="AP315" s="17"/>
      <c r="AQ315" s="17"/>
      <c r="AR315" s="17"/>
      <c r="AS315" s="17"/>
      <c r="AT315" s="17"/>
      <c r="AU315" s="17"/>
      <c r="AV315" s="17"/>
      <c r="AW315" s="17"/>
      <c r="AX315" s="17"/>
      <c r="AY315" s="17"/>
    </row>
    <row r="316" spans="1:51" x14ac:dyDescent="0.2">
      <c r="A316" s="21" t="s">
        <v>1050</v>
      </c>
      <c r="B316" s="19"/>
      <c r="C316" s="19"/>
      <c r="D316" s="19"/>
      <c r="E316" s="19"/>
      <c r="F316" s="19"/>
      <c r="G316" s="19"/>
      <c r="H316" s="19"/>
      <c r="I316" s="19"/>
      <c r="J316" s="19"/>
      <c r="K316" s="19"/>
      <c r="L316" s="19"/>
      <c r="M316" s="19"/>
      <c r="N316" s="17"/>
      <c r="O316" s="17"/>
      <c r="P316" s="17"/>
      <c r="Q316" s="17"/>
      <c r="R316" s="17"/>
      <c r="S316" s="17"/>
      <c r="T316" s="17"/>
      <c r="U316" s="17"/>
      <c r="V316" s="17"/>
      <c r="W316" s="17"/>
      <c r="X316" s="17"/>
      <c r="Y316" s="17"/>
      <c r="Z316" s="17"/>
      <c r="AA316" s="17"/>
      <c r="AB316" s="17"/>
      <c r="AC316" s="17"/>
      <c r="AD316" s="17"/>
      <c r="AE316" s="17"/>
      <c r="AF316" s="17"/>
      <c r="AG316" s="17"/>
      <c r="AH316" s="17"/>
      <c r="AI316" s="17"/>
      <c r="AJ316" s="17"/>
      <c r="AK316" s="17"/>
      <c r="AL316" s="17"/>
      <c r="AM316" s="17"/>
      <c r="AN316" s="17"/>
      <c r="AO316" s="17"/>
      <c r="AP316" s="17"/>
      <c r="AQ316" s="17"/>
      <c r="AR316" s="17"/>
      <c r="AS316" s="17"/>
      <c r="AT316" s="17"/>
      <c r="AU316" s="17"/>
      <c r="AV316" s="17"/>
      <c r="AW316" s="17"/>
      <c r="AX316" s="17"/>
      <c r="AY316" s="17"/>
    </row>
    <row r="317" spans="1:51" x14ac:dyDescent="0.2">
      <c r="A317" s="21" t="s">
        <v>694</v>
      </c>
      <c r="B317" s="20"/>
      <c r="C317" s="20"/>
      <c r="D317" s="20"/>
      <c r="E317" s="20"/>
      <c r="F317" s="20"/>
      <c r="G317" s="20"/>
      <c r="H317" s="20"/>
      <c r="I317" s="20"/>
      <c r="J317" s="20"/>
      <c r="K317" s="20"/>
      <c r="L317" s="20"/>
      <c r="M317" s="20"/>
      <c r="N317" s="17"/>
      <c r="O317" s="17"/>
      <c r="P317" s="17"/>
      <c r="Q317" s="17"/>
      <c r="R317" s="17"/>
      <c r="S317" s="17"/>
      <c r="T317" s="17"/>
      <c r="U317" s="17"/>
      <c r="V317" s="17"/>
      <c r="W317" s="17"/>
      <c r="X317" s="17"/>
      <c r="Y317" s="17"/>
      <c r="Z317" s="17"/>
      <c r="AA317" s="17"/>
      <c r="AB317" s="17"/>
      <c r="AC317" s="17"/>
      <c r="AD317" s="17"/>
      <c r="AE317" s="17"/>
      <c r="AF317" s="17"/>
      <c r="AG317" s="17"/>
      <c r="AH317" s="17"/>
      <c r="AI317" s="17"/>
      <c r="AJ317" s="17"/>
      <c r="AK317" s="17"/>
      <c r="AL317" s="17"/>
      <c r="AM317" s="17"/>
      <c r="AN317" s="17"/>
      <c r="AO317" s="17"/>
      <c r="AP317" s="17"/>
      <c r="AQ317" s="17"/>
      <c r="AR317" s="17"/>
      <c r="AS317" s="17"/>
      <c r="AT317" s="17"/>
      <c r="AU317" s="17"/>
      <c r="AV317" s="17"/>
      <c r="AW317" s="17"/>
      <c r="AX317" s="17"/>
      <c r="AY317" s="17"/>
    </row>
    <row r="318" spans="1:51" x14ac:dyDescent="0.2">
      <c r="A318" s="21" t="s">
        <v>279</v>
      </c>
      <c r="B318" s="20">
        <v>2</v>
      </c>
      <c r="C318" s="20"/>
      <c r="D318" s="20"/>
      <c r="E318" s="20"/>
      <c r="F318" s="20"/>
      <c r="G318" s="20"/>
      <c r="H318" s="20"/>
      <c r="I318" s="20"/>
      <c r="J318" s="20"/>
      <c r="K318" s="20"/>
      <c r="L318" s="20"/>
      <c r="M318" s="20"/>
      <c r="N318" s="17"/>
      <c r="O318" s="17"/>
      <c r="P318" s="17"/>
      <c r="Q318" s="17"/>
      <c r="R318" s="17"/>
      <c r="S318" s="17"/>
      <c r="T318" s="17"/>
      <c r="U318" s="17"/>
      <c r="V318" s="17"/>
      <c r="W318" s="17"/>
      <c r="X318" s="17"/>
      <c r="Y318" s="17"/>
      <c r="Z318" s="17"/>
      <c r="AA318" s="17"/>
      <c r="AB318" s="17"/>
      <c r="AC318" s="17"/>
      <c r="AD318" s="17"/>
      <c r="AE318" s="17"/>
      <c r="AF318" s="17"/>
      <c r="AG318" s="17"/>
      <c r="AH318" s="17"/>
      <c r="AI318" s="17"/>
      <c r="AJ318" s="17"/>
      <c r="AK318" s="17"/>
      <c r="AL318" s="17"/>
      <c r="AM318" s="17"/>
      <c r="AN318" s="17"/>
      <c r="AO318" s="17"/>
      <c r="AP318" s="17"/>
      <c r="AQ318" s="17"/>
      <c r="AR318" s="17"/>
      <c r="AS318" s="17"/>
      <c r="AT318" s="17"/>
      <c r="AU318" s="17"/>
      <c r="AV318" s="17"/>
      <c r="AW318" s="17"/>
      <c r="AX318" s="17"/>
      <c r="AY318" s="17"/>
    </row>
    <row r="319" spans="1:51" x14ac:dyDescent="0.2">
      <c r="A319" s="21" t="s">
        <v>780</v>
      </c>
      <c r="B319" s="20"/>
      <c r="C319" s="20"/>
      <c r="D319" s="20"/>
      <c r="E319" s="20"/>
      <c r="F319" s="20"/>
      <c r="G319" s="20">
        <v>22</v>
      </c>
      <c r="H319" s="20"/>
      <c r="I319" s="20">
        <v>1</v>
      </c>
      <c r="J319" s="20"/>
      <c r="K319" s="20"/>
      <c r="L319" s="20"/>
      <c r="M319" s="20"/>
      <c r="N319" s="17"/>
      <c r="O319" s="17"/>
      <c r="P319" s="17"/>
      <c r="Q319" s="17"/>
      <c r="R319" s="17"/>
      <c r="S319" s="17"/>
      <c r="T319" s="17"/>
      <c r="U319" s="17"/>
      <c r="V319" s="17"/>
      <c r="W319" s="17"/>
      <c r="X319" s="17"/>
      <c r="Y319" s="17"/>
      <c r="Z319" s="17"/>
      <c r="AA319" s="17"/>
      <c r="AB319" s="17"/>
      <c r="AC319" s="17"/>
      <c r="AD319" s="17"/>
      <c r="AE319" s="17"/>
      <c r="AF319" s="17"/>
      <c r="AG319" s="17"/>
      <c r="AH319" s="17"/>
      <c r="AI319" s="17"/>
      <c r="AJ319" s="17"/>
      <c r="AK319" s="17"/>
      <c r="AL319" s="17"/>
      <c r="AM319" s="17"/>
      <c r="AN319" s="17"/>
      <c r="AO319" s="17"/>
      <c r="AP319" s="17"/>
      <c r="AQ319" s="17"/>
      <c r="AR319" s="17"/>
      <c r="AS319" s="17"/>
      <c r="AT319" s="17"/>
      <c r="AU319" s="17"/>
      <c r="AV319" s="17"/>
      <c r="AW319" s="17"/>
      <c r="AX319" s="17"/>
      <c r="AY319" s="17"/>
    </row>
    <row r="320" spans="1:51" x14ac:dyDescent="0.2">
      <c r="A320" s="21" t="s">
        <v>278</v>
      </c>
      <c r="B320" s="20"/>
      <c r="C320" s="20"/>
      <c r="D320" s="20"/>
      <c r="E320" s="20"/>
      <c r="F320" s="20"/>
      <c r="G320" s="20"/>
      <c r="H320" s="20"/>
      <c r="I320" s="20"/>
      <c r="J320" s="20"/>
      <c r="K320" s="20"/>
      <c r="L320" s="20">
        <f ca="1">250*VLOOKUP(A320,ProcChance,4,FALSE)*0.8*(WhiteMHConnects+YellowConnects+WindfuryConnects+HoJConnects+SSConnects+IronfoeConnects)*(1+1.5*Spell_Crit/100)+250*BaseOHSpeed/60*0.8*(WhiteOHConnects)*(1+1.5*Spell_Crit/100)</f>
        <v>15.785666370979214</v>
      </c>
      <c r="M320" s="20">
        <f ca="1">250*VLOOKUP(A320,ProcChance,4,FALSE)*0.8*(WhiteMHConnects20+YellowConnects20+WindfuryConnects20+HoJConnects20+SSConnects20+IronfoeConnects20)*(1+1.5*Spell_Crit/100)+250*BaseOHSpeed/60*0.8*(WhiteOHConnects20)*(1+1.5*Spell_Crit/100)</f>
        <v>19.37942602756538</v>
      </c>
      <c r="N320" s="17"/>
      <c r="O320" s="17"/>
      <c r="P320" s="17"/>
      <c r="Q320" s="17"/>
      <c r="R320" s="17"/>
      <c r="S320" s="17"/>
      <c r="T320" s="17"/>
      <c r="U320" s="17"/>
      <c r="V320" s="17"/>
      <c r="W320" s="17"/>
      <c r="X320" s="17"/>
      <c r="Y320" s="17"/>
      <c r="Z320" s="17"/>
      <c r="AA320" s="17"/>
      <c r="AB320" s="17"/>
      <c r="AC320" s="17"/>
      <c r="AD320" s="17"/>
      <c r="AE320" s="17"/>
      <c r="AF320" s="17"/>
      <c r="AG320" s="17"/>
      <c r="AH320" s="17"/>
      <c r="AI320" s="17"/>
      <c r="AJ320" s="17"/>
      <c r="AK320" s="17"/>
      <c r="AL320" s="17"/>
      <c r="AM320" s="17"/>
      <c r="AN320" s="17"/>
      <c r="AO320" s="17"/>
      <c r="AP320" s="17"/>
      <c r="AQ320" s="17"/>
      <c r="AR320" s="17"/>
      <c r="AS320" s="17"/>
      <c r="AT320" s="17"/>
      <c r="AU320" s="17"/>
      <c r="AV320" s="17"/>
      <c r="AW320" s="17"/>
      <c r="AX320" s="17"/>
      <c r="AY320" s="17"/>
    </row>
    <row r="321" spans="1:51" x14ac:dyDescent="0.2">
      <c r="A321" s="21" t="s">
        <v>534</v>
      </c>
      <c r="B321" s="20"/>
      <c r="C321" s="20"/>
      <c r="D321" s="20">
        <f>IF(FightDuration/60&lt;1,75,IF(FightDuration/360&lt;1,75*60/FightDuration,IF(FightDuration-360*ROUNDDOWN(FightDuration/360,0)&lt;60,(FightDuration-360*ROUNDDOWN(FightDuration/360,0)+60*ROUNDDOWN(FightDuration/360,0))*75/FightDuration,(ROUNDDOWN(FightDuration/360,0)+1)*60*75/FightDuration)))</f>
        <v>75</v>
      </c>
      <c r="E321" s="20"/>
      <c r="F321" s="20"/>
      <c r="G321" s="20"/>
      <c r="H321" s="20"/>
      <c r="I321" s="20"/>
      <c r="J321" s="20"/>
      <c r="K321" s="20"/>
      <c r="L321" s="20"/>
      <c r="M321" s="20"/>
      <c r="N321" s="17"/>
      <c r="O321" s="17"/>
      <c r="P321" s="17"/>
      <c r="Q321" s="17"/>
      <c r="R321" s="17"/>
      <c r="S321" s="17"/>
      <c r="T321" s="17"/>
      <c r="U321" s="17"/>
      <c r="V321" s="17"/>
      <c r="W321" s="17"/>
      <c r="X321" s="17"/>
      <c r="Y321" s="17"/>
      <c r="Z321" s="17"/>
      <c r="AA321" s="17"/>
      <c r="AB321" s="17"/>
      <c r="AC321" s="17"/>
      <c r="AD321" s="17"/>
      <c r="AE321" s="17"/>
      <c r="AF321" s="17"/>
      <c r="AG321" s="17"/>
      <c r="AH321" s="17"/>
      <c r="AI321" s="17"/>
      <c r="AJ321" s="17"/>
      <c r="AK321" s="17"/>
      <c r="AL321" s="17"/>
      <c r="AM321" s="17"/>
      <c r="AN321" s="17"/>
      <c r="AO321" s="17"/>
      <c r="AP321" s="17"/>
      <c r="AQ321" s="17"/>
      <c r="AR321" s="17"/>
      <c r="AS321" s="17"/>
      <c r="AT321" s="17"/>
      <c r="AU321" s="17"/>
      <c r="AV321" s="17"/>
      <c r="AW321" s="17"/>
      <c r="AX321" s="17"/>
      <c r="AY321" s="17"/>
    </row>
    <row r="322" spans="1:51" x14ac:dyDescent="0.2">
      <c r="A322" s="21" t="s">
        <v>30</v>
      </c>
      <c r="B322" s="20"/>
      <c r="C322" s="20">
        <v>2</v>
      </c>
      <c r="D322" s="20"/>
      <c r="E322" s="20"/>
      <c r="F322" s="20"/>
      <c r="G322" s="20">
        <v>56</v>
      </c>
      <c r="H322" s="20">
        <v>1</v>
      </c>
      <c r="I322" s="20"/>
      <c r="J322" s="20"/>
      <c r="K322" s="20"/>
      <c r="L322" s="20"/>
      <c r="M322" s="20"/>
      <c r="N322" s="17"/>
      <c r="O322" s="17"/>
      <c r="P322" s="17"/>
      <c r="Q322" s="17"/>
      <c r="R322" s="17"/>
      <c r="S322" s="17"/>
      <c r="T322" s="17"/>
      <c r="U322" s="17"/>
      <c r="V322" s="17"/>
      <c r="W322" s="17"/>
      <c r="X322" s="17"/>
      <c r="Y322" s="17"/>
      <c r="Z322" s="17"/>
      <c r="AA322" s="17"/>
      <c r="AB322" s="17"/>
      <c r="AC322" s="17"/>
      <c r="AD322" s="17"/>
      <c r="AE322" s="17"/>
      <c r="AF322" s="17"/>
      <c r="AG322" s="17"/>
      <c r="AH322" s="17"/>
      <c r="AI322" s="17"/>
      <c r="AJ322" s="17"/>
      <c r="AK322" s="17"/>
      <c r="AL322" s="17"/>
      <c r="AM322" s="17"/>
      <c r="AN322" s="17"/>
      <c r="AO322" s="17"/>
      <c r="AP322" s="17"/>
      <c r="AQ322" s="17"/>
      <c r="AR322" s="17"/>
      <c r="AS322" s="17"/>
      <c r="AT322" s="17"/>
      <c r="AU322" s="17"/>
      <c r="AV322" s="17"/>
      <c r="AW322" s="17"/>
      <c r="AX322" s="17"/>
      <c r="AY322" s="17"/>
    </row>
    <row r="323" spans="1:51" x14ac:dyDescent="0.2">
      <c r="A323" s="21" t="s">
        <v>31</v>
      </c>
      <c r="B323" s="20"/>
      <c r="C323" s="20"/>
      <c r="D323" s="20"/>
      <c r="E323" s="20"/>
      <c r="F323" s="20"/>
      <c r="G323" s="20">
        <f>IF(FightDuration/20&lt;1,280,IF(FightDuration/120&lt;1,280*20/FightDuration,IF(FightDuration-120*ROUNDDOWN(FightDuration/120,0)&lt;20,(FightDuration-120*ROUNDDOWN(FightDuration/120,0)+20*ROUNDDOWN(FightDuration/120,0))*280/FightDuration,(ROUNDDOWN(FightDuration/120,0)+1)*20*280/FightDuration)))</f>
        <v>93.333333333333329</v>
      </c>
      <c r="H323" s="20"/>
      <c r="I323" s="20"/>
      <c r="J323" s="20"/>
      <c r="K323" s="20"/>
      <c r="L323" s="20"/>
      <c r="M323" s="20"/>
      <c r="N323" s="17"/>
      <c r="O323" s="17"/>
      <c r="P323" s="17"/>
      <c r="Q323" s="17"/>
      <c r="R323" s="17"/>
      <c r="S323" s="17"/>
      <c r="T323" s="17"/>
      <c r="U323" s="17"/>
      <c r="V323" s="17"/>
      <c r="W323" s="17"/>
      <c r="X323" s="17"/>
      <c r="Y323" s="17"/>
      <c r="Z323" s="17"/>
      <c r="AA323" s="17"/>
      <c r="AB323" s="17"/>
      <c r="AC323" s="17"/>
      <c r="AD323" s="17"/>
      <c r="AE323" s="17"/>
      <c r="AF323" s="17"/>
      <c r="AG323" s="17"/>
      <c r="AH323" s="17"/>
      <c r="AI323" s="17"/>
      <c r="AJ323" s="17"/>
      <c r="AK323" s="17"/>
      <c r="AL323" s="17"/>
      <c r="AM323" s="17"/>
      <c r="AN323" s="17"/>
      <c r="AO323" s="17"/>
      <c r="AP323" s="17"/>
      <c r="AQ323" s="17"/>
      <c r="AR323" s="17"/>
      <c r="AS323" s="17"/>
      <c r="AT323" s="17"/>
      <c r="AU323" s="17"/>
      <c r="AV323" s="17"/>
      <c r="AW323" s="17"/>
      <c r="AX323" s="17"/>
      <c r="AY323" s="17"/>
    </row>
    <row r="324" spans="1:51" x14ac:dyDescent="0.2">
      <c r="A324" s="21" t="s">
        <v>280</v>
      </c>
      <c r="B324" s="20"/>
      <c r="C324" s="20"/>
      <c r="D324" s="20"/>
      <c r="E324" s="20"/>
      <c r="F324" s="20"/>
      <c r="G324" s="20">
        <v>20</v>
      </c>
      <c r="H324" s="20"/>
      <c r="I324" s="20"/>
      <c r="J324" s="20"/>
      <c r="K324" s="20"/>
      <c r="L324" s="20">
        <f ca="1">HoJConnects*WhiteHitMod*(BaseDamage+NetAP/14*BaseSpeed)</f>
        <v>0</v>
      </c>
      <c r="M324" s="20">
        <f ca="1">HoJConnects20*WhiteHitMod20*(BaseDamage+NetAP20/14*BaseSpeed)</f>
        <v>0</v>
      </c>
      <c r="N324" s="17"/>
      <c r="O324" s="17"/>
      <c r="P324" s="17"/>
      <c r="Q324" s="17"/>
      <c r="R324" s="17"/>
      <c r="S324" s="17"/>
      <c r="T324" s="17"/>
      <c r="U324" s="17"/>
      <c r="V324" s="17"/>
      <c r="W324" s="17"/>
      <c r="X324" s="17"/>
      <c r="Y324" s="17"/>
      <c r="Z324" s="17"/>
      <c r="AA324" s="17"/>
      <c r="AB324" s="17"/>
      <c r="AC324" s="17"/>
      <c r="AD324" s="17"/>
      <c r="AE324" s="17"/>
      <c r="AF324" s="17"/>
      <c r="AG324" s="17"/>
      <c r="AH324" s="17"/>
      <c r="AI324" s="17"/>
      <c r="AJ324" s="17"/>
      <c r="AK324" s="17"/>
      <c r="AL324" s="17"/>
      <c r="AM324" s="17"/>
      <c r="AN324" s="17"/>
      <c r="AO324" s="17"/>
      <c r="AP324" s="17"/>
      <c r="AQ324" s="17"/>
      <c r="AR324" s="17"/>
      <c r="AS324" s="17"/>
      <c r="AT324" s="17"/>
      <c r="AU324" s="17"/>
      <c r="AV324" s="17"/>
      <c r="AW324" s="17"/>
      <c r="AX324" s="17"/>
      <c r="AY324" s="17"/>
    </row>
    <row r="325" spans="1:51" x14ac:dyDescent="0.2">
      <c r="A325" s="21" t="s">
        <v>748</v>
      </c>
      <c r="B325" s="20"/>
      <c r="C325" s="20"/>
      <c r="D325" s="20"/>
      <c r="E325" s="20"/>
      <c r="F325" s="20"/>
      <c r="G325" s="20"/>
      <c r="H325" s="20"/>
      <c r="I325" s="20"/>
      <c r="J325" s="20"/>
      <c r="K325" s="20"/>
      <c r="L325" s="20">
        <f ca="1">150*VLOOKUP(A325,ProcChance,4,FALSE)*0.8*(WhiteMHConnects+YellowConnects+WindfuryConnects+HoJConnects+SSConnects+IronfoeConnects)*(1+1.5*Spell_Crit/100)+150*BaseOHSpeed/60*0.8*(WhiteOHConnects)*(1+1.5*Spell_Crit/100)</f>
        <v>14.136585585557327</v>
      </c>
      <c r="M325" s="20">
        <f ca="1">150*VLOOKUP(A325,ProcChance,4,FALSE)*0.8*(WhiteMHConnects20+YellowConnects20+WindfuryConnects20+HoJConnects20+SSConnects20+IronfoeConnects20)*(1+1.5*Spell_Crit/100)+150*BaseOHSpeed/60*0.8*(WhiteOHConnects20)*(1+1.5*Spell_Crit/100)</f>
        <v>17.708953866800371</v>
      </c>
      <c r="N325" s="17"/>
      <c r="O325" s="17"/>
      <c r="P325" s="17"/>
      <c r="Q325" s="17"/>
      <c r="R325" s="17"/>
      <c r="S325" s="17"/>
      <c r="T325" s="17"/>
      <c r="U325" s="17"/>
      <c r="V325" s="17"/>
      <c r="W325" s="17"/>
      <c r="X325" s="17"/>
      <c r="Y325" s="17"/>
      <c r="Z325" s="17"/>
      <c r="AA325" s="17"/>
      <c r="AB325" s="17"/>
      <c r="AC325" s="17"/>
      <c r="AD325" s="17"/>
      <c r="AE325" s="17"/>
      <c r="AF325" s="17"/>
      <c r="AG325" s="17"/>
      <c r="AH325" s="17"/>
      <c r="AI325" s="17"/>
      <c r="AJ325" s="17"/>
      <c r="AK325" s="17"/>
      <c r="AL325" s="17"/>
      <c r="AM325" s="17"/>
      <c r="AN325" s="17"/>
      <c r="AO325" s="17"/>
      <c r="AP325" s="17"/>
      <c r="AQ325" s="17"/>
      <c r="AR325" s="17"/>
      <c r="AS325" s="17"/>
      <c r="AT325" s="17"/>
      <c r="AU325" s="17"/>
      <c r="AV325" s="17"/>
      <c r="AW325" s="17"/>
      <c r="AX325" s="17"/>
      <c r="AY325" s="17"/>
    </row>
    <row r="326" spans="1:51" x14ac:dyDescent="0.2">
      <c r="A326" s="21" t="s">
        <v>621</v>
      </c>
      <c r="B326" s="20"/>
      <c r="C326" s="20"/>
      <c r="D326" s="20"/>
      <c r="E326" s="20"/>
      <c r="F326" s="20"/>
      <c r="G326" s="20">
        <f>INDEX('Jom Gabbar'!C2:C1802,MATCH(FightDuration,'Jom Gabbar'!A2:A1802,))</f>
        <v>119.16666666666667</v>
      </c>
      <c r="H326" s="20"/>
      <c r="I326" s="20"/>
      <c r="J326" s="20"/>
      <c r="K326" s="20"/>
      <c r="L326" s="20"/>
      <c r="M326" s="20"/>
      <c r="N326" s="17"/>
      <c r="O326" s="17"/>
      <c r="P326" s="17"/>
      <c r="Q326" s="17"/>
      <c r="R326" s="17"/>
      <c r="S326" s="17"/>
      <c r="T326" s="17"/>
      <c r="U326" s="17"/>
      <c r="V326" s="17"/>
      <c r="W326" s="17"/>
      <c r="X326" s="17"/>
      <c r="Y326" s="17"/>
      <c r="Z326" s="17"/>
      <c r="AA326" s="17"/>
      <c r="AB326" s="17"/>
      <c r="AC326" s="17"/>
      <c r="AD326" s="17"/>
      <c r="AE326" s="17"/>
      <c r="AF326" s="17"/>
      <c r="AG326" s="17"/>
      <c r="AH326" s="17"/>
      <c r="AI326" s="17"/>
      <c r="AJ326" s="17"/>
      <c r="AK326" s="17"/>
      <c r="AL326" s="17"/>
      <c r="AM326" s="17"/>
      <c r="AN326" s="17"/>
      <c r="AO326" s="17"/>
      <c r="AP326" s="17"/>
      <c r="AQ326" s="17"/>
      <c r="AR326" s="17"/>
      <c r="AS326" s="17"/>
      <c r="AT326" s="17"/>
      <c r="AU326" s="17"/>
      <c r="AV326" s="17"/>
      <c r="AW326" s="17"/>
      <c r="AX326" s="17"/>
      <c r="AY326" s="17"/>
    </row>
    <row r="327" spans="1:51" x14ac:dyDescent="0.2">
      <c r="A327" s="21" t="s">
        <v>1180</v>
      </c>
      <c r="B327" s="20">
        <v>1</v>
      </c>
      <c r="C327" s="20">
        <v>1</v>
      </c>
      <c r="D327" s="20"/>
      <c r="E327" s="20"/>
      <c r="F327" s="20"/>
      <c r="G327" s="20"/>
      <c r="H327" s="20"/>
      <c r="I327" s="20"/>
      <c r="J327" s="20"/>
      <c r="K327" s="20"/>
      <c r="L327" s="20"/>
      <c r="M327" s="20"/>
      <c r="N327" s="17"/>
      <c r="O327" s="17"/>
      <c r="P327" s="17"/>
      <c r="Q327" s="17"/>
      <c r="R327" s="17"/>
      <c r="S327" s="17"/>
      <c r="T327" s="17"/>
      <c r="U327" s="17"/>
      <c r="V327" s="17"/>
      <c r="W327" s="17"/>
      <c r="X327" s="17"/>
      <c r="Y327" s="17"/>
      <c r="Z327" s="17"/>
      <c r="AA327" s="17"/>
      <c r="AB327" s="17"/>
      <c r="AC327" s="17"/>
      <c r="AD327" s="17"/>
      <c r="AE327" s="17"/>
      <c r="AF327" s="17"/>
      <c r="AG327" s="17"/>
      <c r="AH327" s="17"/>
      <c r="AI327" s="17"/>
      <c r="AJ327" s="17"/>
      <c r="AK327" s="17"/>
      <c r="AL327" s="17"/>
      <c r="AM327" s="17"/>
      <c r="AN327" s="17"/>
      <c r="AO327" s="17"/>
      <c r="AP327" s="17"/>
      <c r="AQ327" s="17"/>
      <c r="AR327" s="17"/>
      <c r="AS327" s="17"/>
      <c r="AT327" s="17"/>
      <c r="AU327" s="17"/>
      <c r="AV327" s="17"/>
      <c r="AW327" s="17"/>
      <c r="AX327" s="17"/>
      <c r="AY327" s="17"/>
    </row>
    <row r="328" spans="1:51" x14ac:dyDescent="0.2">
      <c r="A328" s="21" t="s">
        <v>281</v>
      </c>
      <c r="B328" s="20"/>
      <c r="C328" s="20">
        <v>1</v>
      </c>
      <c r="D328" s="20"/>
      <c r="E328" s="20"/>
      <c r="F328" s="20"/>
      <c r="G328" s="20">
        <v>20</v>
      </c>
      <c r="H328" s="20"/>
      <c r="I328" s="20"/>
      <c r="J328" s="20"/>
      <c r="K328" s="20"/>
      <c r="L328" s="20"/>
      <c r="M328" s="20"/>
      <c r="N328" s="17"/>
      <c r="O328" s="17"/>
      <c r="P328" s="17"/>
      <c r="Q328" s="17"/>
      <c r="R328" s="17"/>
      <c r="S328" s="17"/>
      <c r="T328" s="17"/>
      <c r="U328" s="17"/>
      <c r="V328" s="17"/>
      <c r="W328" s="17"/>
      <c r="X328" s="17"/>
      <c r="Y328" s="17"/>
      <c r="Z328" s="17"/>
      <c r="AA328" s="17"/>
      <c r="AB328" s="17"/>
      <c r="AC328" s="17"/>
      <c r="AD328" s="17"/>
      <c r="AE328" s="17"/>
      <c r="AF328" s="17"/>
      <c r="AG328" s="17"/>
      <c r="AH328" s="17"/>
      <c r="AI328" s="17"/>
      <c r="AJ328" s="17"/>
      <c r="AK328" s="17"/>
      <c r="AL328" s="17"/>
      <c r="AM328" s="17"/>
      <c r="AN328" s="17"/>
      <c r="AO328" s="17"/>
      <c r="AP328" s="17"/>
      <c r="AQ328" s="17"/>
      <c r="AR328" s="17"/>
      <c r="AS328" s="17"/>
      <c r="AT328" s="17"/>
      <c r="AU328" s="17"/>
      <c r="AV328" s="17"/>
      <c r="AW328" s="17"/>
      <c r="AX328" s="17"/>
      <c r="AY328" s="17"/>
    </row>
    <row r="329" spans="1:51" x14ac:dyDescent="0.2">
      <c r="A329" s="21" t="s">
        <v>526</v>
      </c>
      <c r="B329" s="20"/>
      <c r="C329" s="20"/>
      <c r="D329" s="20"/>
      <c r="E329" s="20"/>
      <c r="F329" s="20"/>
      <c r="G329" s="20">
        <v>81</v>
      </c>
      <c r="H329" s="20"/>
      <c r="I329" s="20"/>
      <c r="J329" s="20"/>
      <c r="K329" s="20"/>
      <c r="L329" s="20"/>
      <c r="M329" s="20"/>
      <c r="N329" s="17"/>
      <c r="O329" s="17"/>
      <c r="P329" s="17"/>
      <c r="Q329" s="17"/>
      <c r="R329" s="17"/>
      <c r="S329" s="17"/>
      <c r="T329" s="17"/>
      <c r="U329" s="17"/>
      <c r="V329" s="17"/>
      <c r="W329" s="17"/>
      <c r="X329" s="17"/>
      <c r="Y329" s="17"/>
      <c r="Z329" s="17"/>
      <c r="AA329" s="17"/>
      <c r="AB329" s="17"/>
      <c r="AC329" s="17"/>
      <c r="AD329" s="17"/>
      <c r="AE329" s="17"/>
      <c r="AF329" s="17"/>
      <c r="AG329" s="17"/>
      <c r="AH329" s="17"/>
      <c r="AI329" s="17"/>
      <c r="AJ329" s="17"/>
      <c r="AK329" s="17"/>
      <c r="AL329" s="17"/>
      <c r="AM329" s="17"/>
      <c r="AN329" s="17"/>
      <c r="AO329" s="17"/>
      <c r="AP329" s="17"/>
      <c r="AQ329" s="17"/>
      <c r="AR329" s="17"/>
      <c r="AS329" s="17"/>
      <c r="AT329" s="17"/>
      <c r="AU329" s="17"/>
      <c r="AV329" s="17"/>
      <c r="AW329" s="17"/>
      <c r="AX329" s="17"/>
      <c r="AY329" s="17"/>
    </row>
    <row r="330" spans="1:51" x14ac:dyDescent="0.2">
      <c r="A330" s="21" t="s">
        <v>1181</v>
      </c>
      <c r="B330" s="20"/>
      <c r="C330" s="20"/>
      <c r="D330" s="20"/>
      <c r="E330" s="20"/>
      <c r="F330" s="20"/>
      <c r="G330" s="20">
        <f>64+IF(FightDuration/20&lt;1,260,IF(FightDuration/120&lt;1,260*20/FightDuration,IF(FightDuration-120*ROUNDDOWN(FightDuration/120,0)&lt;20,(FightDuration-120*ROUNDDOWN(FightDuration/120,0)+20*ROUNDDOWN(FightDuration/120,0))*260/FightDuration,(ROUNDDOWN(FightDuration/120,0)+1)*20*260/FightDuration)))</f>
        <v>150.66666666666669</v>
      </c>
      <c r="H330" s="20"/>
      <c r="I330" s="20"/>
      <c r="J330" s="20"/>
      <c r="K330" s="20"/>
      <c r="L330" s="20"/>
      <c r="M330" s="20"/>
      <c r="N330" s="17"/>
      <c r="O330" s="17"/>
      <c r="P330" s="17"/>
      <c r="Q330" s="17"/>
      <c r="R330" s="17"/>
      <c r="S330" s="17"/>
      <c r="T330" s="17"/>
      <c r="U330" s="17"/>
      <c r="V330" s="17"/>
      <c r="W330" s="17"/>
      <c r="X330" s="17"/>
      <c r="Y330" s="17"/>
      <c r="Z330" s="17"/>
      <c r="AA330" s="17"/>
      <c r="AB330" s="17"/>
      <c r="AC330" s="17"/>
      <c r="AD330" s="17"/>
      <c r="AE330" s="17"/>
      <c r="AF330" s="17"/>
      <c r="AG330" s="17"/>
      <c r="AH330" s="17"/>
      <c r="AI330" s="17"/>
      <c r="AJ330" s="17"/>
      <c r="AK330" s="17"/>
      <c r="AL330" s="17"/>
      <c r="AM330" s="17"/>
      <c r="AN330" s="17"/>
      <c r="AO330" s="17"/>
      <c r="AP330" s="17"/>
      <c r="AQ330" s="17"/>
      <c r="AR330" s="17"/>
      <c r="AS330" s="17"/>
      <c r="AT330" s="17"/>
      <c r="AU330" s="17"/>
      <c r="AV330" s="17"/>
      <c r="AW330" s="17"/>
      <c r="AX330" s="17"/>
      <c r="AY330" s="17"/>
    </row>
    <row r="331" spans="1:51" x14ac:dyDescent="0.2">
      <c r="A331" s="24"/>
      <c r="B331" s="23"/>
      <c r="C331" s="23"/>
      <c r="D331" s="23"/>
      <c r="E331" s="23"/>
      <c r="F331" s="23"/>
      <c r="G331" s="23"/>
      <c r="H331" s="23"/>
      <c r="I331" s="23"/>
      <c r="J331" s="23"/>
      <c r="K331" s="23"/>
      <c r="L331" s="23"/>
      <c r="M331" s="23"/>
      <c r="N331" s="17"/>
      <c r="O331" s="17"/>
      <c r="P331" s="17"/>
      <c r="Q331" s="17"/>
      <c r="R331" s="17"/>
      <c r="S331" s="17"/>
      <c r="T331" s="17"/>
      <c r="U331" s="17"/>
      <c r="V331" s="17"/>
      <c r="W331" s="17"/>
      <c r="X331" s="17"/>
      <c r="Y331" s="17"/>
      <c r="Z331" s="17"/>
      <c r="AA331" s="17"/>
      <c r="AB331" s="17"/>
      <c r="AC331" s="17"/>
      <c r="AD331" s="17"/>
      <c r="AE331" s="17"/>
      <c r="AF331" s="17"/>
      <c r="AG331" s="17"/>
      <c r="AH331" s="17"/>
      <c r="AI331" s="17"/>
      <c r="AJ331" s="17"/>
      <c r="AK331" s="17"/>
      <c r="AL331" s="17"/>
      <c r="AM331" s="17"/>
      <c r="AN331" s="17"/>
      <c r="AO331" s="17"/>
      <c r="AP331" s="17"/>
      <c r="AQ331" s="17"/>
      <c r="AR331" s="17"/>
      <c r="AS331" s="17"/>
      <c r="AT331" s="17"/>
      <c r="AU331" s="17"/>
      <c r="AV331" s="17"/>
      <c r="AW331" s="17"/>
      <c r="AX331" s="17"/>
      <c r="AY331" s="17"/>
    </row>
    <row r="332" spans="1:51" x14ac:dyDescent="0.2">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c r="AB332" s="17"/>
      <c r="AC332" s="17"/>
      <c r="AD332" s="17"/>
      <c r="AE332" s="17"/>
      <c r="AF332" s="17"/>
      <c r="AG332" s="17"/>
      <c r="AH332" s="17"/>
      <c r="AI332" s="17"/>
      <c r="AJ332" s="17"/>
      <c r="AK332" s="17"/>
      <c r="AL332" s="17"/>
      <c r="AM332" s="17"/>
      <c r="AN332" s="17"/>
      <c r="AO332" s="17"/>
      <c r="AP332" s="17"/>
      <c r="AQ332" s="17"/>
      <c r="AR332" s="17"/>
      <c r="AS332" s="17"/>
      <c r="AT332" s="17"/>
      <c r="AU332" s="17"/>
      <c r="AV332" s="17"/>
      <c r="AW332" s="17"/>
      <c r="AX332" s="17"/>
      <c r="AY332" s="17"/>
    </row>
    <row r="333" spans="1:51" ht="12.75" customHeight="1" x14ac:dyDescent="0.2">
      <c r="A333" s="24"/>
      <c r="B333" s="23"/>
      <c r="C333" s="23"/>
      <c r="D333" s="23"/>
      <c r="E333" s="23"/>
      <c r="F333" s="23"/>
      <c r="G333" s="23"/>
      <c r="H333" s="23"/>
      <c r="I333" s="23"/>
      <c r="J333" s="23"/>
      <c r="K333" s="23"/>
      <c r="L333" s="23"/>
      <c r="M333" s="23"/>
      <c r="N333" s="17"/>
      <c r="O333" s="17"/>
      <c r="P333" s="17"/>
      <c r="Q333" s="17"/>
      <c r="R333" s="17"/>
      <c r="S333" s="17"/>
      <c r="T333" s="17"/>
      <c r="U333" s="17"/>
      <c r="V333" s="17"/>
      <c r="W333" s="17"/>
      <c r="X333" s="17"/>
      <c r="Y333" s="17"/>
      <c r="Z333" s="17"/>
      <c r="AA333" s="17"/>
      <c r="AB333" s="17"/>
      <c r="AC333" s="17"/>
      <c r="AD333" s="17"/>
      <c r="AE333" s="17"/>
      <c r="AF333" s="17"/>
      <c r="AG333" s="17"/>
      <c r="AH333" s="17"/>
      <c r="AI333" s="17"/>
      <c r="AJ333" s="17"/>
      <c r="AK333" s="17"/>
      <c r="AL333" s="17"/>
      <c r="AM333" s="17"/>
      <c r="AN333" s="17"/>
      <c r="AO333" s="17"/>
      <c r="AP333" s="17"/>
      <c r="AQ333" s="17"/>
      <c r="AR333" s="17"/>
      <c r="AS333" s="17"/>
      <c r="AT333" s="17"/>
      <c r="AU333" s="17"/>
      <c r="AV333" s="17"/>
      <c r="AW333" s="17"/>
      <c r="AX333" s="17"/>
      <c r="AY333" s="17"/>
    </row>
    <row r="334" spans="1:51" ht="12.75" customHeight="1" x14ac:dyDescent="0.2">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c r="AB334" s="17"/>
      <c r="AC334" s="17"/>
      <c r="AD334" s="17"/>
      <c r="AE334" s="17"/>
      <c r="AF334" s="17"/>
      <c r="AG334" s="17"/>
      <c r="AH334" s="17"/>
      <c r="AI334" s="17"/>
      <c r="AJ334" s="17"/>
      <c r="AK334" s="17"/>
      <c r="AL334" s="17"/>
      <c r="AM334" s="17"/>
      <c r="AN334" s="17"/>
      <c r="AO334" s="17"/>
      <c r="AP334" s="17"/>
      <c r="AQ334" s="17"/>
      <c r="AR334" s="17"/>
      <c r="AS334" s="17"/>
      <c r="AT334" s="17"/>
      <c r="AU334" s="17"/>
      <c r="AV334" s="17"/>
      <c r="AW334" s="17"/>
      <c r="AX334" s="17"/>
      <c r="AY334" s="17"/>
    </row>
    <row r="335" spans="1:51" x14ac:dyDescent="0.2">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c r="AB335" s="17"/>
      <c r="AC335" s="17"/>
      <c r="AD335" s="17"/>
      <c r="AE335" s="17"/>
      <c r="AF335" s="17"/>
      <c r="AG335" s="17"/>
      <c r="AH335" s="17"/>
      <c r="AI335" s="17"/>
      <c r="AJ335" s="17"/>
      <c r="AK335" s="17"/>
      <c r="AL335" s="17"/>
      <c r="AM335" s="17"/>
      <c r="AN335" s="17"/>
      <c r="AO335" s="17"/>
      <c r="AP335" s="17"/>
      <c r="AQ335" s="17"/>
      <c r="AR335" s="17"/>
      <c r="AS335" s="17"/>
      <c r="AT335" s="17"/>
      <c r="AU335" s="17"/>
      <c r="AV335" s="17"/>
      <c r="AW335" s="17"/>
      <c r="AX335" s="17"/>
      <c r="AY335" s="17"/>
    </row>
    <row r="336" spans="1:51" x14ac:dyDescent="0.2">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c r="AB336" s="17"/>
      <c r="AC336" s="17"/>
      <c r="AD336" s="17"/>
      <c r="AE336" s="17"/>
      <c r="AF336" s="17"/>
      <c r="AG336" s="17"/>
      <c r="AH336" s="17"/>
      <c r="AI336" s="17"/>
      <c r="AJ336" s="17"/>
      <c r="AK336" s="17"/>
      <c r="AL336" s="17"/>
      <c r="AM336" s="17"/>
      <c r="AN336" s="17"/>
      <c r="AO336" s="17"/>
      <c r="AP336" s="17"/>
      <c r="AQ336" s="17"/>
      <c r="AR336" s="17"/>
      <c r="AS336" s="17"/>
      <c r="AT336" s="17"/>
      <c r="AU336" s="17"/>
      <c r="AV336" s="17"/>
      <c r="AW336" s="17"/>
      <c r="AX336" s="17"/>
      <c r="AY336" s="17"/>
    </row>
    <row r="337" spans="1:51" x14ac:dyDescent="0.2">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c r="AB337" s="17"/>
      <c r="AC337" s="17"/>
      <c r="AD337" s="17"/>
      <c r="AE337" s="17"/>
      <c r="AF337" s="17"/>
      <c r="AG337" s="17"/>
      <c r="AH337" s="17"/>
      <c r="AI337" s="17"/>
      <c r="AJ337" s="17"/>
      <c r="AK337" s="17"/>
      <c r="AL337" s="17"/>
      <c r="AM337" s="17"/>
      <c r="AN337" s="17"/>
      <c r="AO337" s="17"/>
      <c r="AP337" s="17"/>
      <c r="AQ337" s="17"/>
      <c r="AR337" s="17"/>
      <c r="AS337" s="17"/>
      <c r="AT337" s="17"/>
      <c r="AU337" s="17"/>
      <c r="AV337" s="17"/>
      <c r="AW337" s="17"/>
      <c r="AX337" s="17"/>
      <c r="AY337" s="17"/>
    </row>
    <row r="338" spans="1:51" x14ac:dyDescent="0.2">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c r="AB338" s="17"/>
      <c r="AC338" s="17"/>
      <c r="AD338" s="17"/>
      <c r="AE338" s="17"/>
      <c r="AF338" s="17"/>
      <c r="AG338" s="17"/>
      <c r="AH338" s="17"/>
      <c r="AI338" s="17"/>
      <c r="AJ338" s="17"/>
      <c r="AK338" s="17"/>
      <c r="AL338" s="17"/>
      <c r="AM338" s="17"/>
      <c r="AN338" s="17"/>
      <c r="AO338" s="17"/>
      <c r="AP338" s="17"/>
      <c r="AQ338" s="17"/>
      <c r="AR338" s="17"/>
      <c r="AS338" s="17"/>
      <c r="AT338" s="17"/>
      <c r="AU338" s="17"/>
      <c r="AV338" s="17"/>
      <c r="AW338" s="17"/>
      <c r="AX338" s="17"/>
      <c r="AY338" s="17"/>
    </row>
    <row r="339" spans="1:51" x14ac:dyDescent="0.2">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c r="AB339" s="17"/>
      <c r="AC339" s="17"/>
      <c r="AD339" s="17"/>
      <c r="AE339" s="17"/>
      <c r="AF339" s="17"/>
      <c r="AG339" s="17"/>
      <c r="AH339" s="17"/>
      <c r="AI339" s="17"/>
      <c r="AJ339" s="17"/>
      <c r="AK339" s="17"/>
      <c r="AL339" s="17"/>
      <c r="AM339" s="17"/>
      <c r="AN339" s="17"/>
      <c r="AO339" s="17"/>
      <c r="AP339" s="17"/>
      <c r="AQ339" s="17"/>
      <c r="AR339" s="17"/>
      <c r="AS339" s="17"/>
      <c r="AT339" s="17"/>
      <c r="AU339" s="17"/>
      <c r="AV339" s="17"/>
      <c r="AW339" s="17"/>
      <c r="AX339" s="17"/>
      <c r="AY339" s="17"/>
    </row>
    <row r="340" spans="1:51" x14ac:dyDescent="0.2">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c r="AB340" s="17"/>
      <c r="AC340" s="17"/>
      <c r="AD340" s="17"/>
      <c r="AE340" s="17"/>
      <c r="AF340" s="17"/>
      <c r="AG340" s="17"/>
      <c r="AH340" s="17"/>
      <c r="AI340" s="17"/>
      <c r="AJ340" s="17"/>
      <c r="AK340" s="17"/>
      <c r="AL340" s="17"/>
      <c r="AM340" s="17"/>
      <c r="AN340" s="17"/>
      <c r="AO340" s="17"/>
      <c r="AP340" s="17"/>
      <c r="AQ340" s="17"/>
      <c r="AR340" s="17"/>
      <c r="AS340" s="17"/>
      <c r="AT340" s="17"/>
      <c r="AU340" s="17"/>
      <c r="AV340" s="17"/>
      <c r="AW340" s="17"/>
      <c r="AX340" s="17"/>
      <c r="AY340" s="17"/>
    </row>
    <row r="341" spans="1:51" x14ac:dyDescent="0.2">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c r="AB341" s="17"/>
      <c r="AC341" s="17"/>
      <c r="AD341" s="17"/>
      <c r="AE341" s="17"/>
      <c r="AF341" s="17"/>
      <c r="AG341" s="17"/>
      <c r="AH341" s="17"/>
      <c r="AI341" s="17"/>
      <c r="AJ341" s="17"/>
      <c r="AK341" s="17"/>
      <c r="AL341" s="17"/>
      <c r="AM341" s="17"/>
      <c r="AN341" s="17"/>
      <c r="AO341" s="17"/>
      <c r="AP341" s="17"/>
      <c r="AQ341" s="17"/>
      <c r="AR341" s="17"/>
      <c r="AS341" s="17"/>
      <c r="AT341" s="17"/>
      <c r="AU341" s="17"/>
      <c r="AV341" s="17"/>
      <c r="AW341" s="17"/>
      <c r="AX341" s="17"/>
      <c r="AY341" s="17"/>
    </row>
    <row r="342" spans="1:51" x14ac:dyDescent="0.2">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c r="AB342" s="17"/>
      <c r="AC342" s="17"/>
      <c r="AD342" s="17"/>
      <c r="AE342" s="17"/>
      <c r="AF342" s="17"/>
      <c r="AG342" s="17"/>
      <c r="AH342" s="17"/>
      <c r="AI342" s="17"/>
      <c r="AJ342" s="17"/>
      <c r="AK342" s="17"/>
      <c r="AL342" s="17"/>
      <c r="AM342" s="17"/>
      <c r="AN342" s="17"/>
      <c r="AO342" s="17"/>
      <c r="AP342" s="17"/>
      <c r="AQ342" s="17"/>
      <c r="AR342" s="17"/>
      <c r="AS342" s="17"/>
      <c r="AT342" s="17"/>
      <c r="AU342" s="17"/>
      <c r="AV342" s="17"/>
      <c r="AW342" s="17"/>
      <c r="AX342" s="17"/>
      <c r="AY342" s="17"/>
    </row>
    <row r="343" spans="1:51" x14ac:dyDescent="0.2">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c r="AB343" s="17"/>
      <c r="AC343" s="17"/>
      <c r="AD343" s="17"/>
      <c r="AE343" s="17"/>
      <c r="AF343" s="17"/>
      <c r="AG343" s="17"/>
      <c r="AH343" s="17"/>
      <c r="AI343" s="17"/>
      <c r="AJ343" s="17"/>
      <c r="AK343" s="17"/>
      <c r="AL343" s="17"/>
      <c r="AM343" s="17"/>
      <c r="AN343" s="17"/>
      <c r="AO343" s="17"/>
      <c r="AP343" s="17"/>
      <c r="AQ343" s="17"/>
      <c r="AR343" s="17"/>
      <c r="AS343" s="17"/>
      <c r="AT343" s="17"/>
      <c r="AU343" s="17"/>
      <c r="AV343" s="17"/>
      <c r="AW343" s="17"/>
      <c r="AX343" s="17"/>
      <c r="AY343" s="17"/>
    </row>
    <row r="344" spans="1:51" x14ac:dyDescent="0.2">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c r="AB344" s="17"/>
      <c r="AC344" s="17"/>
      <c r="AD344" s="17"/>
      <c r="AE344" s="17"/>
      <c r="AF344" s="17"/>
      <c r="AG344" s="17"/>
      <c r="AH344" s="17"/>
      <c r="AI344" s="17"/>
      <c r="AJ344" s="17"/>
      <c r="AK344" s="17"/>
      <c r="AL344" s="17"/>
      <c r="AM344" s="17"/>
      <c r="AN344" s="17"/>
      <c r="AO344" s="17"/>
      <c r="AP344" s="17"/>
      <c r="AQ344" s="17"/>
      <c r="AR344" s="17"/>
      <c r="AS344" s="17"/>
      <c r="AT344" s="17"/>
      <c r="AU344" s="17"/>
      <c r="AV344" s="17"/>
      <c r="AW344" s="17"/>
      <c r="AX344" s="17"/>
      <c r="AY344" s="17"/>
    </row>
    <row r="345" spans="1:51" x14ac:dyDescent="0.2">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c r="AB345" s="17"/>
      <c r="AC345" s="17"/>
      <c r="AD345" s="17"/>
      <c r="AE345" s="17"/>
      <c r="AF345" s="17"/>
      <c r="AG345" s="17"/>
      <c r="AH345" s="17"/>
      <c r="AI345" s="17"/>
      <c r="AJ345" s="17"/>
      <c r="AK345" s="17"/>
      <c r="AL345" s="17"/>
      <c r="AM345" s="17"/>
      <c r="AN345" s="17"/>
      <c r="AO345" s="17"/>
      <c r="AP345" s="17"/>
      <c r="AQ345" s="17"/>
      <c r="AR345" s="17"/>
      <c r="AS345" s="17"/>
      <c r="AT345" s="17"/>
      <c r="AU345" s="17"/>
      <c r="AV345" s="17"/>
      <c r="AW345" s="17"/>
      <c r="AX345" s="17"/>
      <c r="AY345" s="17"/>
    </row>
    <row r="346" spans="1:51" ht="12.75" customHeight="1" x14ac:dyDescent="0.2">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c r="AB346" s="17"/>
      <c r="AC346" s="17"/>
      <c r="AD346" s="17"/>
      <c r="AE346" s="17"/>
      <c r="AF346" s="17"/>
      <c r="AG346" s="17"/>
      <c r="AH346" s="17"/>
      <c r="AI346" s="17"/>
      <c r="AJ346" s="17"/>
      <c r="AK346" s="17"/>
      <c r="AL346" s="17"/>
      <c r="AM346" s="17"/>
      <c r="AN346" s="17"/>
      <c r="AO346" s="17"/>
      <c r="AP346" s="17"/>
      <c r="AQ346" s="17"/>
      <c r="AR346" s="17"/>
      <c r="AS346" s="17"/>
      <c r="AT346" s="17"/>
      <c r="AU346" s="17"/>
      <c r="AV346" s="17"/>
      <c r="AW346" s="17"/>
      <c r="AX346" s="17"/>
      <c r="AY346" s="17"/>
    </row>
    <row r="347" spans="1:51" ht="12.75" customHeight="1" x14ac:dyDescent="0.2">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c r="AB347" s="17"/>
      <c r="AC347" s="17"/>
      <c r="AD347" s="17"/>
      <c r="AE347" s="17"/>
      <c r="AF347" s="17"/>
      <c r="AG347" s="17"/>
      <c r="AH347" s="17"/>
      <c r="AI347" s="17"/>
      <c r="AJ347" s="17"/>
      <c r="AK347" s="17"/>
      <c r="AL347" s="17"/>
      <c r="AM347" s="17"/>
      <c r="AN347" s="17"/>
      <c r="AO347" s="17"/>
      <c r="AP347" s="17"/>
      <c r="AQ347" s="17"/>
      <c r="AR347" s="17"/>
      <c r="AS347" s="17"/>
      <c r="AT347" s="17"/>
      <c r="AU347" s="17"/>
      <c r="AV347" s="17"/>
      <c r="AW347" s="17"/>
      <c r="AX347" s="17"/>
      <c r="AY347" s="17"/>
    </row>
    <row r="348" spans="1:51" x14ac:dyDescent="0.2">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c r="AB348" s="17"/>
      <c r="AC348" s="17"/>
      <c r="AD348" s="17"/>
      <c r="AE348" s="17"/>
      <c r="AF348" s="17"/>
      <c r="AG348" s="17"/>
      <c r="AH348" s="17"/>
      <c r="AI348" s="17"/>
      <c r="AJ348" s="17"/>
      <c r="AK348" s="17"/>
      <c r="AL348" s="17"/>
      <c r="AM348" s="17"/>
      <c r="AN348" s="17"/>
      <c r="AO348" s="17"/>
      <c r="AP348" s="17"/>
      <c r="AQ348" s="17"/>
      <c r="AR348" s="17"/>
      <c r="AS348" s="17"/>
      <c r="AT348" s="17"/>
      <c r="AU348" s="17"/>
      <c r="AV348" s="17"/>
      <c r="AW348" s="17"/>
      <c r="AX348" s="17"/>
      <c r="AY348" s="17"/>
    </row>
  </sheetData>
  <sortState xmlns:xlrd2="http://schemas.microsoft.com/office/spreadsheetml/2017/richdata2" ref="A254:M275">
    <sortCondition ref="A254"/>
  </sortState>
  <mergeCells count="15">
    <mergeCell ref="O216:AA217"/>
    <mergeCell ref="A216:M217"/>
    <mergeCell ref="A249:M250"/>
    <mergeCell ref="A277:M278"/>
    <mergeCell ref="A312:M313"/>
    <mergeCell ref="A164:M165"/>
    <mergeCell ref="A190:M191"/>
    <mergeCell ref="O132:AF133"/>
    <mergeCell ref="A138:M139"/>
    <mergeCell ref="O3:AH4"/>
    <mergeCell ref="A3:M4"/>
    <mergeCell ref="A27:M28"/>
    <mergeCell ref="A51:M52"/>
    <mergeCell ref="A77:M78"/>
    <mergeCell ref="A106:M107"/>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B2:Y77"/>
  <sheetViews>
    <sheetView showGridLines="0" workbookViewId="0">
      <selection activeCell="I66" sqref="I66"/>
    </sheetView>
  </sheetViews>
  <sheetFormatPr defaultRowHeight="12.75" x14ac:dyDescent="0.2"/>
  <cols>
    <col min="2" max="2" width="14.5703125" customWidth="1"/>
    <col min="3" max="3" width="20.7109375" customWidth="1"/>
    <col min="4" max="4" width="14.42578125" customWidth="1"/>
    <col min="5" max="5" width="10.85546875" customWidth="1"/>
    <col min="6" max="6" width="15.28515625" customWidth="1"/>
    <col min="7" max="7" width="13.42578125" customWidth="1"/>
    <col min="8" max="8" width="12.28515625" customWidth="1"/>
    <col min="9" max="9" width="18.42578125" customWidth="1"/>
    <col min="13" max="13" width="14.42578125" customWidth="1"/>
    <col min="14" max="14" width="11.28515625" customWidth="1"/>
    <col min="15" max="15" width="7" customWidth="1"/>
    <col min="16" max="16" width="27.28515625" customWidth="1"/>
    <col min="17" max="17" width="10.42578125" customWidth="1"/>
    <col min="18" max="18" width="10.28515625" customWidth="1"/>
    <col min="19" max="19" width="13.7109375" customWidth="1"/>
  </cols>
  <sheetData>
    <row r="2" spans="2:25" ht="12.75" customHeight="1" x14ac:dyDescent="0.35">
      <c r="O2" s="120"/>
      <c r="P2" s="120"/>
      <c r="Q2" s="120"/>
      <c r="R2" s="120"/>
      <c r="S2" s="120"/>
      <c r="T2" s="120"/>
      <c r="U2" s="120"/>
      <c r="V2" s="120"/>
      <c r="W2" s="120"/>
      <c r="X2" s="120"/>
      <c r="Y2" s="120"/>
    </row>
    <row r="3" spans="2:25" ht="12.75" customHeight="1" x14ac:dyDescent="0.35">
      <c r="B3" s="176" t="s">
        <v>1117</v>
      </c>
      <c r="C3" s="176"/>
      <c r="D3" s="176"/>
      <c r="E3" s="176"/>
      <c r="F3" s="176"/>
      <c r="G3" s="176"/>
      <c r="H3" s="176"/>
      <c r="I3" s="176"/>
      <c r="J3" s="176"/>
      <c r="K3" s="176"/>
      <c r="L3" s="176"/>
      <c r="M3" s="176"/>
      <c r="N3" s="176"/>
      <c r="O3" s="176"/>
      <c r="P3" s="176"/>
      <c r="Q3" s="120"/>
      <c r="R3" s="120"/>
      <c r="S3" s="120"/>
      <c r="T3" s="120"/>
      <c r="U3" s="120"/>
      <c r="V3" s="120"/>
      <c r="W3" s="120"/>
      <c r="X3" s="120"/>
      <c r="Y3" s="120"/>
    </row>
    <row r="4" spans="2:25" ht="14.25" customHeight="1" x14ac:dyDescent="0.2">
      <c r="B4" s="176"/>
      <c r="C4" s="176"/>
      <c r="D4" s="176"/>
      <c r="E4" s="176"/>
      <c r="F4" s="176"/>
      <c r="G4" s="176"/>
      <c r="H4" s="176"/>
      <c r="I4" s="176"/>
      <c r="J4" s="176"/>
      <c r="K4" s="176"/>
      <c r="L4" s="176"/>
      <c r="M4" s="176"/>
      <c r="N4" s="176"/>
      <c r="O4" s="176"/>
      <c r="P4" s="176"/>
    </row>
    <row r="6" spans="2:25" x14ac:dyDescent="0.2">
      <c r="B6" s="175" t="s">
        <v>1126</v>
      </c>
      <c r="C6" s="175"/>
      <c r="E6" s="170" t="s">
        <v>1118</v>
      </c>
      <c r="F6" s="170"/>
      <c r="H6" s="170" t="s">
        <v>1122</v>
      </c>
      <c r="I6" s="170"/>
      <c r="J6" s="170"/>
      <c r="K6" s="170"/>
      <c r="M6" s="170" t="s">
        <v>1123</v>
      </c>
      <c r="N6" s="170"/>
      <c r="O6" s="170"/>
      <c r="P6" s="170"/>
      <c r="R6" s="12"/>
      <c r="S6" s="115"/>
    </row>
    <row r="7" spans="2:25" x14ac:dyDescent="0.2">
      <c r="B7" s="119"/>
      <c r="C7" s="119"/>
      <c r="R7" s="11"/>
    </row>
    <row r="8" spans="2:25" x14ac:dyDescent="0.2">
      <c r="B8" s="129" t="s">
        <v>1100</v>
      </c>
      <c r="C8" s="130" t="s">
        <v>1099</v>
      </c>
      <c r="D8" s="12"/>
      <c r="E8" s="12" t="s">
        <v>1100</v>
      </c>
      <c r="F8" s="115" t="s">
        <v>1099</v>
      </c>
      <c r="G8" s="12"/>
      <c r="H8" s="12" t="s">
        <v>1100</v>
      </c>
      <c r="I8" s="115" t="s">
        <v>1099</v>
      </c>
      <c r="J8" s="12"/>
      <c r="K8" s="115" t="s">
        <v>1119</v>
      </c>
      <c r="L8" s="12"/>
      <c r="M8" s="12" t="s">
        <v>1100</v>
      </c>
      <c r="N8" s="115" t="s">
        <v>1099</v>
      </c>
      <c r="O8" s="12"/>
      <c r="P8" s="115" t="s">
        <v>1119</v>
      </c>
      <c r="R8" s="11"/>
    </row>
    <row r="9" spans="2:25" x14ac:dyDescent="0.2">
      <c r="B9" s="127" t="s">
        <v>1110</v>
      </c>
      <c r="C9" s="119">
        <v>0</v>
      </c>
      <c r="E9" s="11" t="s">
        <v>1110</v>
      </c>
      <c r="F9">
        <v>0</v>
      </c>
      <c r="H9" s="11" t="s">
        <v>1110</v>
      </c>
      <c r="I9">
        <v>0</v>
      </c>
      <c r="J9" s="11"/>
      <c r="K9" s="122">
        <v>30</v>
      </c>
      <c r="M9" s="11" t="s">
        <v>1110</v>
      </c>
      <c r="N9">
        <v>0</v>
      </c>
      <c r="O9" s="114"/>
      <c r="P9" s="123">
        <v>30</v>
      </c>
      <c r="R9" s="11"/>
    </row>
    <row r="10" spans="2:25" x14ac:dyDescent="0.2">
      <c r="B10" s="127" t="s">
        <v>1106</v>
      </c>
      <c r="C10" s="119">
        <v>1.5</v>
      </c>
      <c r="E10" s="11" t="s">
        <v>1106</v>
      </c>
      <c r="F10">
        <v>1.5</v>
      </c>
      <c r="H10" s="11" t="s">
        <v>1106</v>
      </c>
      <c r="I10" s="11">
        <f>1.5+K9/1000</f>
        <v>1.53</v>
      </c>
      <c r="M10" s="11" t="s">
        <v>1106</v>
      </c>
      <c r="N10">
        <f>1.5+P9/1000</f>
        <v>1.53</v>
      </c>
      <c r="R10" s="11"/>
    </row>
    <row r="11" spans="2:25" x14ac:dyDescent="0.2">
      <c r="B11" s="127" t="s">
        <v>1110</v>
      </c>
      <c r="C11" s="119">
        <v>6</v>
      </c>
      <c r="E11" s="11" t="s">
        <v>1110</v>
      </c>
      <c r="F11">
        <v>6</v>
      </c>
      <c r="H11" s="11" t="s">
        <v>1110</v>
      </c>
      <c r="I11">
        <f>6+K9/1000</f>
        <v>6.03</v>
      </c>
      <c r="M11" s="11" t="s">
        <v>1110</v>
      </c>
      <c r="N11">
        <f>6+P9/1000</f>
        <v>6.03</v>
      </c>
      <c r="R11" s="11"/>
    </row>
    <row r="12" spans="2:25" x14ac:dyDescent="0.2">
      <c r="B12" s="127" t="s">
        <v>1110</v>
      </c>
      <c r="C12" s="119">
        <v>12</v>
      </c>
      <c r="E12" s="11" t="s">
        <v>1106</v>
      </c>
      <c r="F12">
        <v>11.5</v>
      </c>
      <c r="H12" s="11" t="s">
        <v>1110</v>
      </c>
      <c r="I12">
        <f>I11+6+K9/1000</f>
        <v>12.06</v>
      </c>
      <c r="M12" s="11" t="s">
        <v>1106</v>
      </c>
      <c r="N12">
        <f>N10+10+P9/1000</f>
        <v>11.559999999999999</v>
      </c>
      <c r="R12" s="11"/>
    </row>
    <row r="13" spans="2:25" x14ac:dyDescent="0.2">
      <c r="B13" s="119"/>
      <c r="C13" s="119"/>
      <c r="E13" s="11" t="s">
        <v>1110</v>
      </c>
      <c r="F13">
        <v>13</v>
      </c>
      <c r="M13" s="11" t="s">
        <v>1110</v>
      </c>
      <c r="N13">
        <f>N12+1.5+P9/1000</f>
        <v>13.089999999999998</v>
      </c>
      <c r="R13" s="11"/>
    </row>
    <row r="14" spans="2:25" x14ac:dyDescent="0.2">
      <c r="B14" s="119"/>
      <c r="C14" s="119"/>
      <c r="E14" s="11" t="s">
        <v>1110</v>
      </c>
      <c r="F14">
        <v>19</v>
      </c>
      <c r="M14" s="11" t="s">
        <v>1110</v>
      </c>
      <c r="N14">
        <f>N13+6+P9/1000</f>
        <v>19.119999999999997</v>
      </c>
      <c r="R14" s="11"/>
    </row>
    <row r="15" spans="2:25" x14ac:dyDescent="0.2">
      <c r="B15" s="119"/>
      <c r="C15" s="119"/>
      <c r="E15" s="11" t="s">
        <v>1106</v>
      </c>
      <c r="F15">
        <v>21.5</v>
      </c>
      <c r="M15" s="11" t="s">
        <v>1106</v>
      </c>
      <c r="N15">
        <f>N12+10+P9/1000</f>
        <v>21.59</v>
      </c>
      <c r="R15" s="11"/>
    </row>
    <row r="16" spans="2:25" x14ac:dyDescent="0.2">
      <c r="B16" s="119"/>
      <c r="C16" s="119"/>
      <c r="E16" s="11" t="s">
        <v>1110</v>
      </c>
      <c r="F16">
        <v>25</v>
      </c>
      <c r="M16" s="11" t="s">
        <v>1110</v>
      </c>
      <c r="N16">
        <f>N14+6+P9/1000</f>
        <v>25.15</v>
      </c>
      <c r="R16" s="11"/>
    </row>
    <row r="17" spans="2:25" x14ac:dyDescent="0.2">
      <c r="B17" s="131"/>
      <c r="C17" s="131"/>
      <c r="D17" s="124"/>
      <c r="E17" s="125" t="s">
        <v>1110</v>
      </c>
      <c r="F17" s="124">
        <v>31</v>
      </c>
      <c r="G17" s="124"/>
      <c r="H17" s="124"/>
      <c r="I17" s="124"/>
      <c r="J17" s="124"/>
      <c r="K17" s="124"/>
      <c r="L17" s="124"/>
      <c r="M17" s="125" t="s">
        <v>1110</v>
      </c>
      <c r="N17" s="124">
        <f>N16+6+P9/1000</f>
        <v>31.18</v>
      </c>
      <c r="O17" s="125"/>
      <c r="P17" s="124"/>
      <c r="R17" s="11"/>
    </row>
    <row r="18" spans="2:25" x14ac:dyDescent="0.2">
      <c r="B18" s="119"/>
      <c r="C18" s="119"/>
      <c r="R18" s="11"/>
    </row>
    <row r="19" spans="2:25" x14ac:dyDescent="0.2">
      <c r="B19" s="129" t="s">
        <v>1121</v>
      </c>
      <c r="C19" s="130" t="s">
        <v>1120</v>
      </c>
      <c r="D19" s="12"/>
      <c r="E19" s="12" t="s">
        <v>1121</v>
      </c>
      <c r="F19" s="115" t="s">
        <v>1120</v>
      </c>
      <c r="G19" s="12"/>
      <c r="H19" s="12" t="s">
        <v>1121</v>
      </c>
      <c r="I19" s="115" t="s">
        <v>1120</v>
      </c>
      <c r="J19" s="12"/>
      <c r="K19" s="12"/>
      <c r="L19" s="12"/>
      <c r="M19" s="12" t="s">
        <v>1121</v>
      </c>
      <c r="N19" s="115" t="s">
        <v>1120</v>
      </c>
      <c r="R19" s="11"/>
    </row>
    <row r="20" spans="2:25" x14ac:dyDescent="0.2">
      <c r="B20" s="127" t="s">
        <v>1110</v>
      </c>
      <c r="C20" s="119">
        <f>C12/2</f>
        <v>6</v>
      </c>
      <c r="E20" s="11" t="s">
        <v>1110</v>
      </c>
      <c r="F20">
        <f>F17/5</f>
        <v>6.2</v>
      </c>
      <c r="H20" s="11" t="s">
        <v>1110</v>
      </c>
      <c r="I20">
        <f>I12/2</f>
        <v>6.03</v>
      </c>
      <c r="M20" s="11" t="s">
        <v>1110</v>
      </c>
      <c r="N20">
        <f>N17/5</f>
        <v>6.2359999999999998</v>
      </c>
      <c r="R20" s="11"/>
    </row>
    <row r="21" spans="2:25" x14ac:dyDescent="0.2">
      <c r="B21" s="127" t="s">
        <v>1106</v>
      </c>
      <c r="C21" s="119">
        <f>12/1</f>
        <v>12</v>
      </c>
      <c r="E21" s="11" t="s">
        <v>1106</v>
      </c>
      <c r="F21">
        <f>F17/3</f>
        <v>10.333333333333334</v>
      </c>
      <c r="H21" s="11" t="s">
        <v>1106</v>
      </c>
      <c r="I21">
        <f>I12</f>
        <v>12.06</v>
      </c>
      <c r="M21" s="11" t="s">
        <v>1106</v>
      </c>
      <c r="N21">
        <f>N17/3</f>
        <v>10.393333333333333</v>
      </c>
      <c r="R21" s="11"/>
    </row>
    <row r="22" spans="2:25" x14ac:dyDescent="0.2">
      <c r="P22" s="11"/>
      <c r="R22" s="11"/>
    </row>
    <row r="23" spans="2:25" x14ac:dyDescent="0.2">
      <c r="R23" s="132"/>
      <c r="S23" s="133"/>
    </row>
    <row r="25" spans="2:25" x14ac:dyDescent="0.2">
      <c r="B25" s="175" t="s">
        <v>1131</v>
      </c>
      <c r="C25" s="175"/>
      <c r="E25" s="170" t="s">
        <v>1116</v>
      </c>
      <c r="F25" s="170"/>
      <c r="H25" s="170" t="s">
        <v>1125</v>
      </c>
      <c r="I25" s="170"/>
      <c r="J25" s="170"/>
      <c r="K25" s="170"/>
      <c r="M25" s="170" t="s">
        <v>1124</v>
      </c>
      <c r="N25" s="170"/>
      <c r="O25" s="170"/>
      <c r="P25" s="170"/>
    </row>
    <row r="26" spans="2:25" x14ac:dyDescent="0.2">
      <c r="B26" s="119"/>
      <c r="C26" s="119"/>
    </row>
    <row r="27" spans="2:25" x14ac:dyDescent="0.2">
      <c r="B27" s="129" t="s">
        <v>1100</v>
      </c>
      <c r="C27" s="130" t="s">
        <v>1099</v>
      </c>
      <c r="D27" s="12"/>
      <c r="E27" s="12" t="s">
        <v>1100</v>
      </c>
      <c r="F27" s="115" t="s">
        <v>1099</v>
      </c>
      <c r="G27" s="12"/>
      <c r="H27" s="12" t="s">
        <v>1100</v>
      </c>
      <c r="I27" s="115" t="s">
        <v>1099</v>
      </c>
      <c r="J27" s="12"/>
      <c r="K27" s="115" t="s">
        <v>1119</v>
      </c>
      <c r="L27" s="12"/>
      <c r="M27" s="12" t="s">
        <v>1100</v>
      </c>
      <c r="N27" s="115" t="s">
        <v>1099</v>
      </c>
      <c r="O27" s="12"/>
      <c r="P27" s="115" t="s">
        <v>1119</v>
      </c>
    </row>
    <row r="28" spans="2:25" x14ac:dyDescent="0.2">
      <c r="B28" s="127" t="s">
        <v>1110</v>
      </c>
      <c r="C28" s="119">
        <v>0</v>
      </c>
      <c r="E28" s="11" t="s">
        <v>1110</v>
      </c>
      <c r="F28">
        <v>0</v>
      </c>
      <c r="H28" s="11" t="s">
        <v>1110</v>
      </c>
      <c r="I28">
        <v>0</v>
      </c>
      <c r="J28" s="11"/>
      <c r="K28" s="122">
        <v>30</v>
      </c>
      <c r="M28" s="11" t="s">
        <v>1110</v>
      </c>
      <c r="N28">
        <v>0</v>
      </c>
      <c r="O28" s="11"/>
      <c r="P28" s="122">
        <v>30</v>
      </c>
    </row>
    <row r="29" spans="2:25" x14ac:dyDescent="0.2">
      <c r="B29" s="127" t="s">
        <v>1106</v>
      </c>
      <c r="C29" s="119">
        <v>1.5</v>
      </c>
      <c r="E29" s="11" t="s">
        <v>1106</v>
      </c>
      <c r="F29">
        <v>1.5</v>
      </c>
      <c r="H29" s="11" t="s">
        <v>1106</v>
      </c>
      <c r="I29">
        <f>I28+1.5+K28/1000</f>
        <v>1.53</v>
      </c>
      <c r="M29" s="11" t="s">
        <v>1106</v>
      </c>
      <c r="N29" s="11">
        <f>1.5+P28/1000</f>
        <v>1.53</v>
      </c>
    </row>
    <row r="30" spans="2:25" x14ac:dyDescent="0.2">
      <c r="B30" s="127" t="s">
        <v>80</v>
      </c>
      <c r="C30" s="119">
        <v>3</v>
      </c>
      <c r="E30" s="11" t="s">
        <v>80</v>
      </c>
      <c r="F30">
        <v>3</v>
      </c>
      <c r="H30" s="11" t="s">
        <v>80</v>
      </c>
      <c r="I30">
        <f>I29+1.5+K28/1000</f>
        <v>3.06</v>
      </c>
      <c r="M30" s="11" t="s">
        <v>80</v>
      </c>
      <c r="N30">
        <f>N29+1.5+P28/1000</f>
        <v>3.06</v>
      </c>
    </row>
    <row r="31" spans="2:25" x14ac:dyDescent="0.2">
      <c r="B31" s="127" t="s">
        <v>1110</v>
      </c>
      <c r="C31" s="119">
        <v>6</v>
      </c>
      <c r="E31" s="11" t="s">
        <v>80</v>
      </c>
      <c r="F31">
        <v>4.5</v>
      </c>
      <c r="H31" s="11" t="s">
        <v>1110</v>
      </c>
      <c r="I31">
        <f>6+K28/1000</f>
        <v>6.03</v>
      </c>
      <c r="M31" s="11" t="s">
        <v>80</v>
      </c>
      <c r="N31">
        <f>N30+1.5+P28/1000</f>
        <v>4.5900000000000007</v>
      </c>
    </row>
    <row r="32" spans="2:25" ht="12.75" customHeight="1" x14ac:dyDescent="0.2">
      <c r="B32" s="127" t="s">
        <v>80</v>
      </c>
      <c r="C32" s="119">
        <v>7.5</v>
      </c>
      <c r="E32" s="11" t="s">
        <v>1110</v>
      </c>
      <c r="F32">
        <v>6</v>
      </c>
      <c r="H32" s="11" t="s">
        <v>80</v>
      </c>
      <c r="I32">
        <f>I31+1.5+K28/1000</f>
        <v>7.5600000000000005</v>
      </c>
      <c r="M32" s="11" t="s">
        <v>1110</v>
      </c>
      <c r="N32">
        <f>N31+1.5+P28/1000</f>
        <v>6.120000000000001</v>
      </c>
      <c r="Q32" s="121"/>
      <c r="R32" s="121"/>
      <c r="S32" s="121"/>
      <c r="T32" s="121"/>
      <c r="U32" s="121"/>
      <c r="V32" s="121"/>
      <c r="W32" s="121"/>
      <c r="X32" s="121"/>
      <c r="Y32" s="121"/>
    </row>
    <row r="33" spans="2:25" ht="12.75" customHeight="1" x14ac:dyDescent="0.2">
      <c r="B33" s="127" t="s">
        <v>80</v>
      </c>
      <c r="C33" s="119">
        <v>9</v>
      </c>
      <c r="E33" s="11" t="s">
        <v>80</v>
      </c>
      <c r="F33">
        <v>7.5</v>
      </c>
      <c r="H33" s="11" t="s">
        <v>80</v>
      </c>
      <c r="I33">
        <f>I32+1.5+K28/1000</f>
        <v>9.09</v>
      </c>
      <c r="M33" s="11" t="s">
        <v>80</v>
      </c>
      <c r="N33">
        <f>N32+1.5+P28/1000</f>
        <v>7.6500000000000012</v>
      </c>
      <c r="Q33" s="121"/>
      <c r="R33" s="121"/>
      <c r="S33" s="121"/>
      <c r="T33" s="121"/>
      <c r="U33" s="121"/>
      <c r="V33" s="121"/>
      <c r="W33" s="121"/>
      <c r="X33" s="121"/>
      <c r="Y33" s="121"/>
    </row>
    <row r="34" spans="2:25" x14ac:dyDescent="0.2">
      <c r="B34" s="127" t="s">
        <v>1110</v>
      </c>
      <c r="C34" s="119">
        <v>12</v>
      </c>
      <c r="E34" s="11" t="s">
        <v>80</v>
      </c>
      <c r="F34">
        <v>9</v>
      </c>
      <c r="H34" s="11" t="s">
        <v>1110</v>
      </c>
      <c r="I34">
        <f>I31+6+K28/1000</f>
        <v>12.06</v>
      </c>
      <c r="M34" s="11" t="s">
        <v>80</v>
      </c>
      <c r="N34">
        <f>N33+1.5+P28/1000</f>
        <v>9.1800000000000015</v>
      </c>
    </row>
    <row r="35" spans="2:25" x14ac:dyDescent="0.2">
      <c r="B35" s="119"/>
      <c r="C35" s="119"/>
      <c r="D35" s="11"/>
      <c r="E35" s="11" t="s">
        <v>80</v>
      </c>
      <c r="F35">
        <v>10.5</v>
      </c>
      <c r="J35" s="11"/>
      <c r="K35" s="11"/>
      <c r="M35" s="11" t="s">
        <v>80</v>
      </c>
      <c r="N35">
        <f>N34+1.5+P28/1000</f>
        <v>10.71</v>
      </c>
    </row>
    <row r="36" spans="2:25" x14ac:dyDescent="0.2">
      <c r="B36" s="131"/>
      <c r="C36" s="131"/>
      <c r="D36" s="125"/>
      <c r="E36" s="125" t="s">
        <v>1110</v>
      </c>
      <c r="F36" s="124">
        <v>12</v>
      </c>
      <c r="G36" s="124"/>
      <c r="H36" s="124"/>
      <c r="I36" s="124"/>
      <c r="J36" s="125"/>
      <c r="K36" s="125"/>
      <c r="L36" s="124"/>
      <c r="M36" s="125" t="s">
        <v>1110</v>
      </c>
      <c r="N36" s="124">
        <f>N35+1.5+P28/1000</f>
        <v>12.24</v>
      </c>
      <c r="O36" s="124"/>
      <c r="P36" s="124"/>
    </row>
    <row r="37" spans="2:25" x14ac:dyDescent="0.2">
      <c r="B37" s="119"/>
      <c r="C37" s="119"/>
      <c r="D37" s="11"/>
      <c r="J37" s="11"/>
      <c r="K37" s="11"/>
    </row>
    <row r="38" spans="2:25" x14ac:dyDescent="0.2">
      <c r="B38" s="129" t="s">
        <v>1121</v>
      </c>
      <c r="C38" s="130" t="s">
        <v>1120</v>
      </c>
      <c r="D38" s="11"/>
      <c r="E38" s="12" t="s">
        <v>1121</v>
      </c>
      <c r="F38" s="115" t="s">
        <v>1120</v>
      </c>
      <c r="H38" s="12" t="s">
        <v>1121</v>
      </c>
      <c r="I38" s="115" t="s">
        <v>1120</v>
      </c>
      <c r="J38" s="11"/>
      <c r="K38" s="11"/>
      <c r="M38" s="12" t="s">
        <v>1121</v>
      </c>
      <c r="N38" s="115" t="s">
        <v>1120</v>
      </c>
    </row>
    <row r="39" spans="2:25" x14ac:dyDescent="0.2">
      <c r="B39" s="127" t="s">
        <v>1110</v>
      </c>
      <c r="C39" s="119">
        <f>C34/2</f>
        <v>6</v>
      </c>
      <c r="D39" s="11"/>
      <c r="E39" s="11" t="s">
        <v>1110</v>
      </c>
      <c r="F39">
        <f>F36/2</f>
        <v>6</v>
      </c>
      <c r="H39" s="11" t="s">
        <v>1110</v>
      </c>
      <c r="I39">
        <f>I34/2</f>
        <v>6.03</v>
      </c>
      <c r="J39" s="11"/>
      <c r="K39" s="11"/>
      <c r="M39" s="11" t="s">
        <v>1110</v>
      </c>
      <c r="N39">
        <f>N36/2</f>
        <v>6.12</v>
      </c>
    </row>
    <row r="40" spans="2:25" x14ac:dyDescent="0.2">
      <c r="B40" s="127" t="s">
        <v>1106</v>
      </c>
      <c r="C40" s="119">
        <f>C34</f>
        <v>12</v>
      </c>
      <c r="E40" s="11" t="s">
        <v>1106</v>
      </c>
      <c r="F40">
        <f>F36</f>
        <v>12</v>
      </c>
      <c r="H40" s="11" t="s">
        <v>1106</v>
      </c>
      <c r="I40">
        <f>I34</f>
        <v>12.06</v>
      </c>
      <c r="M40" s="11" t="s">
        <v>1106</v>
      </c>
      <c r="N40">
        <f>N36</f>
        <v>12.24</v>
      </c>
    </row>
    <row r="41" spans="2:25" x14ac:dyDescent="0.2">
      <c r="B41" s="127" t="s">
        <v>80</v>
      </c>
      <c r="C41" s="119">
        <f>C34/3</f>
        <v>4</v>
      </c>
      <c r="E41" s="11" t="s">
        <v>80</v>
      </c>
      <c r="F41">
        <f>F36/5</f>
        <v>2.4</v>
      </c>
      <c r="H41" s="11" t="s">
        <v>80</v>
      </c>
      <c r="I41">
        <f>I34/3</f>
        <v>4.0200000000000005</v>
      </c>
      <c r="M41" s="11" t="s">
        <v>80</v>
      </c>
      <c r="N41">
        <f>N36/5</f>
        <v>2.448</v>
      </c>
    </row>
    <row r="45" spans="2:25" x14ac:dyDescent="0.2">
      <c r="B45" s="176" t="s">
        <v>1115</v>
      </c>
      <c r="C45" s="176"/>
      <c r="D45" s="176"/>
      <c r="E45" s="176"/>
      <c r="F45" s="176"/>
      <c r="G45" s="176"/>
      <c r="H45" s="176"/>
      <c r="I45" s="176"/>
      <c r="J45" s="176"/>
      <c r="K45" s="176"/>
      <c r="L45" s="176"/>
      <c r="M45" s="176"/>
      <c r="N45" s="176"/>
    </row>
    <row r="46" spans="2:25" x14ac:dyDescent="0.2">
      <c r="B46" s="176"/>
      <c r="C46" s="176"/>
      <c r="D46" s="176"/>
      <c r="E46" s="176"/>
      <c r="F46" s="176"/>
      <c r="G46" s="176"/>
      <c r="H46" s="176"/>
      <c r="I46" s="176"/>
      <c r="J46" s="176"/>
      <c r="K46" s="176"/>
      <c r="L46" s="176"/>
      <c r="M46" s="176"/>
      <c r="N46" s="176"/>
    </row>
    <row r="48" spans="2:25" x14ac:dyDescent="0.2">
      <c r="B48" s="170" t="s">
        <v>1132</v>
      </c>
      <c r="C48" s="170"/>
      <c r="D48" s="170"/>
      <c r="E48" s="170"/>
      <c r="F48" s="170"/>
      <c r="G48" s="170"/>
      <c r="I48" s="170" t="s">
        <v>1128</v>
      </c>
      <c r="J48" s="170"/>
      <c r="K48" s="170"/>
      <c r="L48" s="170"/>
      <c r="M48" s="170"/>
      <c r="N48" s="170"/>
    </row>
    <row r="49" spans="2:16" x14ac:dyDescent="0.2">
      <c r="B49" s="127" t="s">
        <v>1100</v>
      </c>
      <c r="C49" s="128" t="s">
        <v>1099</v>
      </c>
      <c r="D49" s="128" t="s">
        <v>1102</v>
      </c>
      <c r="E49" s="119"/>
      <c r="F49" s="127" t="s">
        <v>1103</v>
      </c>
      <c r="G49" s="119">
        <f ca="1">(BaseDamage+NetAP/14*BaseSpeed)*WhiteHitMod</f>
        <v>463.386132698437</v>
      </c>
      <c r="I49" s="11" t="s">
        <v>1100</v>
      </c>
      <c r="J49" s="114" t="s">
        <v>1099</v>
      </c>
      <c r="K49" s="114" t="s">
        <v>1102</v>
      </c>
      <c r="M49" s="11" t="s">
        <v>1103</v>
      </c>
      <c r="N49">
        <f ca="1">(BaseDamage+NetAP/14*BaseSpeed)*WhiteHitMod</f>
        <v>463.386132698437</v>
      </c>
      <c r="P49" s="177" t="s">
        <v>1137</v>
      </c>
    </row>
    <row r="50" spans="2:16" x14ac:dyDescent="0.2">
      <c r="B50" s="127" t="s">
        <v>1101</v>
      </c>
      <c r="C50" s="119">
        <v>0</v>
      </c>
      <c r="D50" s="127">
        <f ca="1">G53+G50-30</f>
        <v>40.446204364930736</v>
      </c>
      <c r="E50" s="119"/>
      <c r="F50" s="127" t="s">
        <v>1104</v>
      </c>
      <c r="G50" s="119">
        <f ca="1">G49/30</f>
        <v>15.446204423281234</v>
      </c>
      <c r="I50" s="11" t="s">
        <v>1101</v>
      </c>
      <c r="J50">
        <v>0</v>
      </c>
      <c r="K50" s="11">
        <f ca="1">N53+N50-30</f>
        <v>40.446204364930736</v>
      </c>
      <c r="M50" s="11" t="s">
        <v>1104</v>
      </c>
      <c r="N50">
        <f ca="1">N49/30</f>
        <v>15.446204423281234</v>
      </c>
      <c r="P50" s="177"/>
    </row>
    <row r="51" spans="2:16" x14ac:dyDescent="0.2">
      <c r="B51" s="127" t="s">
        <v>1106</v>
      </c>
      <c r="C51" s="119">
        <v>1.5</v>
      </c>
      <c r="D51" s="119">
        <f ca="1">D50-25</f>
        <v>15.446204364930736</v>
      </c>
      <c r="E51" s="119"/>
      <c r="F51" s="127" t="s">
        <v>1107</v>
      </c>
      <c r="G51" s="119">
        <f ca="1">FinalSpeed</f>
        <v>1.5248906126747039</v>
      </c>
      <c r="I51" s="11" t="s">
        <v>1106</v>
      </c>
      <c r="J51">
        <v>1.5</v>
      </c>
      <c r="K51">
        <f ca="1">K50-25</f>
        <v>15.446204364930736</v>
      </c>
      <c r="M51" s="11" t="s">
        <v>1107</v>
      </c>
      <c r="N51">
        <f ca="1">FinalSpeed</f>
        <v>1.5248906126747039</v>
      </c>
      <c r="P51" s="177"/>
    </row>
    <row r="52" spans="2:16" x14ac:dyDescent="0.2">
      <c r="B52" s="127" t="s">
        <v>1108</v>
      </c>
      <c r="C52" s="119">
        <f ca="1">G51</f>
        <v>1.5248906126747039</v>
      </c>
      <c r="D52" s="119">
        <f ca="1">D51+G50</f>
        <v>30.89240878821197</v>
      </c>
      <c r="E52" s="119"/>
      <c r="F52" s="127" t="s">
        <v>1113</v>
      </c>
      <c r="G52" s="119">
        <v>1.1000000000000001</v>
      </c>
      <c r="I52" s="11" t="s">
        <v>1108</v>
      </c>
      <c r="J52">
        <f ca="1">N51</f>
        <v>1.5248906126747039</v>
      </c>
      <c r="K52">
        <f ca="1">K51+N50</f>
        <v>30.89240878821197</v>
      </c>
      <c r="M52" s="11" t="s">
        <v>1113</v>
      </c>
      <c r="N52">
        <v>1.1000000000000001</v>
      </c>
    </row>
    <row r="53" spans="2:16" x14ac:dyDescent="0.2">
      <c r="B53" s="127" t="s">
        <v>71</v>
      </c>
      <c r="C53" s="119">
        <f ca="1">C52+G52</f>
        <v>2.624890612674704</v>
      </c>
      <c r="D53" s="119">
        <f ca="1">D52-15</f>
        <v>15.89240878821197</v>
      </c>
      <c r="E53" s="119"/>
      <c r="F53" s="127" t="s">
        <v>1105</v>
      </c>
      <c r="G53" s="119">
        <v>55</v>
      </c>
      <c r="I53" s="11" t="s">
        <v>71</v>
      </c>
      <c r="J53">
        <f ca="1">J52+N52</f>
        <v>2.624890612674704</v>
      </c>
      <c r="K53">
        <f ca="1">K52-15</f>
        <v>15.89240878821197</v>
      </c>
      <c r="M53" s="11" t="s">
        <v>1105</v>
      </c>
      <c r="N53">
        <v>55</v>
      </c>
    </row>
    <row r="54" spans="2:16" x14ac:dyDescent="0.2">
      <c r="B54" s="127" t="s">
        <v>1109</v>
      </c>
      <c r="C54" s="119">
        <f ca="1">C52+1.5</f>
        <v>3.0248906126747039</v>
      </c>
      <c r="D54" s="119">
        <f ca="1">D53</f>
        <v>15.89240878821197</v>
      </c>
      <c r="E54" s="119"/>
      <c r="F54" s="119"/>
      <c r="G54" s="119"/>
      <c r="I54" s="11" t="s">
        <v>1109</v>
      </c>
      <c r="J54">
        <f ca="1">J52+1.5</f>
        <v>3.0248906126747039</v>
      </c>
      <c r="K54">
        <f ca="1">K53</f>
        <v>15.89240878821197</v>
      </c>
    </row>
    <row r="55" spans="2:16" x14ac:dyDescent="0.2">
      <c r="B55" s="127" t="s">
        <v>71</v>
      </c>
      <c r="C55" s="119">
        <f ca="1">C54+G52</f>
        <v>4.1248906126747045</v>
      </c>
      <c r="D55" s="119">
        <f ca="1">D54-15</f>
        <v>0.89240878821197001</v>
      </c>
      <c r="E55" s="119"/>
      <c r="F55" s="129" t="s">
        <v>9</v>
      </c>
      <c r="G55" s="119">
        <f ca="1">(4*G49+2*NetAP*0.45*YellowHitMod+3*(BaseDamage+NetAP/14*BaseSpeed+87)*YellowHitMod+(BaseDamage+NetAP/14*Normalize)*YellowHitMod)/C60+10*(0.02*IF(HoJSwings=0,0,1)+0.2*DPS!C74)*(BaseDamage+NetAP/14*BaseSpeed)*WhiteHitMod/C60</f>
        <v>644.89806257294106</v>
      </c>
      <c r="I55" s="11" t="s">
        <v>71</v>
      </c>
      <c r="J55">
        <f ca="1">J54+N52</f>
        <v>4.1248906126747045</v>
      </c>
      <c r="K55">
        <f ca="1">K54-15</f>
        <v>0.89240878821197001</v>
      </c>
    </row>
    <row r="56" spans="2:16" x14ac:dyDescent="0.2">
      <c r="B56" s="127" t="s">
        <v>1110</v>
      </c>
      <c r="C56" s="119">
        <v>6</v>
      </c>
      <c r="D56" s="119">
        <f ca="1">D55-30</f>
        <v>-29.10759121178803</v>
      </c>
      <c r="E56" s="119"/>
      <c r="F56" s="119"/>
      <c r="G56" s="119"/>
      <c r="I56" s="11" t="s">
        <v>1110</v>
      </c>
      <c r="J56">
        <v>6</v>
      </c>
      <c r="K56">
        <f ca="1">K55-30</f>
        <v>-29.10759121178803</v>
      </c>
      <c r="M56" s="12" t="s">
        <v>9</v>
      </c>
      <c r="N56" s="126">
        <f ca="1">(3*N49+2*NetAP*0.45*YellowHitMod+4*(BaseDamage+NetAP/14*BaseSpeed+87)*YellowHitMod+(BaseDamage+NetAP/14*Normalize)*YellowHitMod)/J61+10*(0.02*IF(HoJSwings=0,0,1)+0.2*DPS!C74)*(BaseDamage+NetAP/14*BaseSpeed)*WhiteHitMod/J61</f>
        <v>817.45278292629121</v>
      </c>
    </row>
    <row r="57" spans="2:16" x14ac:dyDescent="0.2">
      <c r="B57" s="127" t="s">
        <v>1112</v>
      </c>
      <c r="C57" s="119">
        <f ca="1">C55+G51</f>
        <v>5.6497812253494084</v>
      </c>
      <c r="D57" s="119">
        <f ca="1">D56+G50</f>
        <v>-13.661386788506796</v>
      </c>
      <c r="E57" s="119"/>
      <c r="F57" s="129" t="s">
        <v>1121</v>
      </c>
      <c r="G57" s="130" t="s">
        <v>1120</v>
      </c>
      <c r="I57" s="11" t="s">
        <v>1112</v>
      </c>
      <c r="J57">
        <f ca="1">J55+N51</f>
        <v>5.6497812253494084</v>
      </c>
      <c r="K57">
        <f ca="1">K56+N50</f>
        <v>-13.661386788506796</v>
      </c>
    </row>
    <row r="58" spans="2:16" x14ac:dyDescent="0.2">
      <c r="B58" s="127" t="s">
        <v>71</v>
      </c>
      <c r="C58" s="119">
        <f ca="1">C57+G52</f>
        <v>6.7497812253494089</v>
      </c>
      <c r="D58" s="119">
        <f ca="1">D57-15</f>
        <v>-28.661386788506796</v>
      </c>
      <c r="E58" s="119"/>
      <c r="F58" s="127" t="s">
        <v>1110</v>
      </c>
      <c r="G58" s="119">
        <f>C60/2</f>
        <v>6</v>
      </c>
      <c r="I58" s="11" t="s">
        <v>71</v>
      </c>
      <c r="J58">
        <f ca="1">J57+N52</f>
        <v>6.7497812253494089</v>
      </c>
      <c r="K58">
        <f ca="1">K57-15</f>
        <v>-28.661386788506796</v>
      </c>
      <c r="M58" s="12" t="s">
        <v>1121</v>
      </c>
      <c r="N58" s="115" t="s">
        <v>1120</v>
      </c>
    </row>
    <row r="59" spans="2:16" x14ac:dyDescent="0.2">
      <c r="B59" s="127" t="s">
        <v>1111</v>
      </c>
      <c r="C59" s="119">
        <f ca="1">C58+G51</f>
        <v>8.274671838024112</v>
      </c>
      <c r="D59" s="119">
        <f ca="1">D58+G50</f>
        <v>-13.215182365225562</v>
      </c>
      <c r="E59" s="119"/>
      <c r="F59" s="127" t="s">
        <v>1106</v>
      </c>
      <c r="G59" s="119">
        <f>C60</f>
        <v>12</v>
      </c>
      <c r="I59" s="11" t="s">
        <v>1109</v>
      </c>
      <c r="J59">
        <f ca="1">J57+1.5</f>
        <v>7.1497812253494084</v>
      </c>
      <c r="K59">
        <f ca="1">K58</f>
        <v>-28.661386788506796</v>
      </c>
      <c r="M59" s="11" t="s">
        <v>1110</v>
      </c>
      <c r="N59">
        <f ca="1">J61/2</f>
        <v>4.887335849974753</v>
      </c>
    </row>
    <row r="60" spans="2:16" x14ac:dyDescent="0.2">
      <c r="B60" s="127" t="s">
        <v>1110</v>
      </c>
      <c r="C60" s="119">
        <f>12</f>
        <v>12</v>
      </c>
      <c r="D60" s="119">
        <f ca="1">D59-30</f>
        <v>-43.215182365225559</v>
      </c>
      <c r="E60" s="119"/>
      <c r="F60" s="127" t="s">
        <v>71</v>
      </c>
      <c r="G60" s="119">
        <f>C60/3</f>
        <v>4</v>
      </c>
      <c r="I60" s="11" t="s">
        <v>71</v>
      </c>
      <c r="J60">
        <f ca="1">J59+N52</f>
        <v>8.2497812253494089</v>
      </c>
      <c r="K60">
        <f ca="1">K59-15</f>
        <v>-43.661386788506796</v>
      </c>
      <c r="M60" s="11" t="s">
        <v>1106</v>
      </c>
      <c r="N60">
        <f ca="1">J61</f>
        <v>9.774671699949506</v>
      </c>
    </row>
    <row r="61" spans="2:16" x14ac:dyDescent="0.2">
      <c r="I61" s="11" t="s">
        <v>1114</v>
      </c>
      <c r="J61">
        <f ca="1">J60+N51</f>
        <v>9.774671838024112</v>
      </c>
      <c r="K61">
        <f ca="1">K60+N50</f>
        <v>-28.215182365225562</v>
      </c>
      <c r="M61" s="11" t="s">
        <v>71</v>
      </c>
      <c r="N61">
        <f ca="1">J61/4</f>
        <v>2.443667959506028</v>
      </c>
    </row>
    <row r="63" spans="2:16" x14ac:dyDescent="0.2">
      <c r="B63" s="170" t="s">
        <v>1133</v>
      </c>
      <c r="C63" s="170"/>
      <c r="D63" s="170"/>
      <c r="E63" s="170"/>
      <c r="F63" s="170"/>
      <c r="G63" s="170"/>
      <c r="I63" s="170" t="s">
        <v>1127</v>
      </c>
      <c r="J63" s="170"/>
      <c r="K63" s="170"/>
      <c r="L63" s="170"/>
      <c r="M63" s="170"/>
      <c r="N63" s="170"/>
    </row>
    <row r="64" spans="2:16" x14ac:dyDescent="0.2">
      <c r="B64" s="137" t="s">
        <v>1100</v>
      </c>
      <c r="C64" s="138" t="s">
        <v>1099</v>
      </c>
      <c r="D64" s="138" t="s">
        <v>1102</v>
      </c>
      <c r="E64" s="126"/>
      <c r="F64" s="137" t="s">
        <v>1103</v>
      </c>
      <c r="G64" s="126">
        <f ca="1">(BaseDamage+NetAP/14*BaseSpeed)*WhiteHitMod</f>
        <v>463.386132698437</v>
      </c>
      <c r="I64" s="11" t="s">
        <v>1100</v>
      </c>
      <c r="J64" s="114" t="s">
        <v>1099</v>
      </c>
      <c r="K64" s="114" t="s">
        <v>1102</v>
      </c>
      <c r="M64" s="11" t="s">
        <v>1103</v>
      </c>
      <c r="N64">
        <f ca="1">(BaseDamage+NetAP/14*BaseSpeed)*WhiteHitMod</f>
        <v>463.386132698437</v>
      </c>
    </row>
    <row r="65" spans="2:15" x14ac:dyDescent="0.2">
      <c r="B65" s="137" t="s">
        <v>1101</v>
      </c>
      <c r="C65" s="126">
        <v>0</v>
      </c>
      <c r="D65" s="137">
        <f ca="1">G68+G65-30</f>
        <v>40.446204364930736</v>
      </c>
      <c r="E65" s="126"/>
      <c r="F65" s="137" t="s">
        <v>1104</v>
      </c>
      <c r="G65" s="126">
        <f ca="1">G64/30</f>
        <v>15.446204423281234</v>
      </c>
      <c r="I65" s="11" t="s">
        <v>1101</v>
      </c>
      <c r="J65">
        <v>0</v>
      </c>
      <c r="K65" s="11">
        <f ca="1">N68+N65-30</f>
        <v>40.446204364930736</v>
      </c>
      <c r="M65" s="11" t="s">
        <v>1104</v>
      </c>
      <c r="N65">
        <f ca="1">N64/30</f>
        <v>15.446204423281234</v>
      </c>
    </row>
    <row r="66" spans="2:15" x14ac:dyDescent="0.2">
      <c r="B66" s="137" t="s">
        <v>1106</v>
      </c>
      <c r="C66" s="126">
        <v>1.5</v>
      </c>
      <c r="D66" s="126">
        <f ca="1">D65-25</f>
        <v>15.446204364930736</v>
      </c>
      <c r="E66" s="126"/>
      <c r="F66" s="137" t="s">
        <v>1107</v>
      </c>
      <c r="G66" s="126">
        <f ca="1">FinalSpeed</f>
        <v>1.5248906126747039</v>
      </c>
      <c r="I66" s="11" t="s">
        <v>1106</v>
      </c>
      <c r="J66">
        <v>1.5</v>
      </c>
      <c r="K66">
        <f ca="1">K65-25</f>
        <v>15.446204364930736</v>
      </c>
      <c r="M66" s="11" t="s">
        <v>1107</v>
      </c>
      <c r="N66">
        <f ca="1">FinalSpeed</f>
        <v>1.5248906126747039</v>
      </c>
    </row>
    <row r="67" spans="2:15" x14ac:dyDescent="0.2">
      <c r="B67" s="137" t="s">
        <v>1108</v>
      </c>
      <c r="C67" s="126">
        <f ca="1">G66</f>
        <v>1.5248906126747039</v>
      </c>
      <c r="D67" s="126">
        <f ca="1">D66+G65</f>
        <v>30.89240878821197</v>
      </c>
      <c r="E67" s="126"/>
      <c r="F67" s="137" t="s">
        <v>1113</v>
      </c>
      <c r="G67" s="126">
        <v>1.1000000000000001</v>
      </c>
      <c r="I67" s="11" t="s">
        <v>1108</v>
      </c>
      <c r="J67">
        <f ca="1">N66</f>
        <v>1.5248906126747039</v>
      </c>
      <c r="K67">
        <f ca="1">K66+N65</f>
        <v>30.89240878821197</v>
      </c>
      <c r="M67" s="11" t="s">
        <v>1113</v>
      </c>
      <c r="N67">
        <v>1.1000000000000001</v>
      </c>
    </row>
    <row r="68" spans="2:15" x14ac:dyDescent="0.2">
      <c r="B68" s="137" t="s">
        <v>71</v>
      </c>
      <c r="C68" s="126">
        <f ca="1">C67+G67</f>
        <v>2.624890612674704</v>
      </c>
      <c r="D68" s="126">
        <f ca="1">D67-15</f>
        <v>15.89240878821197</v>
      </c>
      <c r="E68" s="126"/>
      <c r="F68" s="137" t="s">
        <v>1105</v>
      </c>
      <c r="G68" s="126">
        <v>55</v>
      </c>
      <c r="I68" s="11" t="s">
        <v>71</v>
      </c>
      <c r="J68">
        <f ca="1">J67+N67</f>
        <v>2.624890612674704</v>
      </c>
      <c r="K68">
        <f ca="1">K67-15</f>
        <v>15.89240878821197</v>
      </c>
      <c r="M68" s="11" t="s">
        <v>1105</v>
      </c>
      <c r="N68">
        <v>55</v>
      </c>
    </row>
    <row r="69" spans="2:15" x14ac:dyDescent="0.2">
      <c r="B69" s="137" t="s">
        <v>1109</v>
      </c>
      <c r="C69" s="126">
        <f ca="1">C67+1.5</f>
        <v>3.0248906126747039</v>
      </c>
      <c r="D69" s="126">
        <f ca="1">D68</f>
        <v>15.89240878821197</v>
      </c>
      <c r="E69" s="126"/>
      <c r="F69" s="126"/>
      <c r="G69" s="126"/>
      <c r="I69" s="11" t="s">
        <v>1109</v>
      </c>
      <c r="J69">
        <f ca="1">J67+1.5</f>
        <v>3.0248906126747039</v>
      </c>
      <c r="K69">
        <f ca="1">K68</f>
        <v>15.89240878821197</v>
      </c>
    </row>
    <row r="70" spans="2:15" x14ac:dyDescent="0.2">
      <c r="B70" s="137" t="s">
        <v>71</v>
      </c>
      <c r="C70" s="126">
        <f ca="1">C69+G67</f>
        <v>4.1248906126747045</v>
      </c>
      <c r="D70" s="126">
        <f ca="1">D69-15</f>
        <v>0.89240878821197001</v>
      </c>
      <c r="E70" s="126"/>
      <c r="F70" s="139" t="s">
        <v>9</v>
      </c>
      <c r="G70" s="126">
        <f ca="1">(4*G64+2*NetAP*0.45*YellowHitMod+3*(BaseDamage+NetAP/14*BaseSpeed+87)*YellowHitMod+45*YellowHitMod+(BaseDamage+NetAP/14*Normalize)*YellowHitMod)/C76+11*(0.02*IF(HoJSwings=0,0,1)+0.2*DPS!C74)*(BaseDamage+NetAP/14*BaseSpeed)*WhiteHitMod/C76</f>
        <v>650.02131457019732</v>
      </c>
      <c r="I70" s="11" t="s">
        <v>71</v>
      </c>
      <c r="J70">
        <f ca="1">J69+N67</f>
        <v>4.1248906126747045</v>
      </c>
      <c r="K70">
        <f ca="1">K69-15</f>
        <v>0.89240878821197001</v>
      </c>
      <c r="M70" s="12" t="s">
        <v>9</v>
      </c>
      <c r="N70" s="126">
        <f ca="1">(4*N64+2*NetAP*0.45*YellowHitMod+3*(BaseDamage+NetAP/14*BaseSpeed+87)*YellowHitMod+2*45*YellowHitMod+(BaseDamage+NetAP/14*Normalize)*YellowHitMod)/J77+12*(0.02*IF(HoJSwings=0,0,1)+0.2*DPS!C74)*(BaseDamage+NetAP/14*BaseSpeed)*WhiteHitMod/J77</f>
        <v>676.28462855071064</v>
      </c>
    </row>
    <row r="71" spans="2:15" x14ac:dyDescent="0.2">
      <c r="B71" s="137" t="s">
        <v>1110</v>
      </c>
      <c r="C71" s="126">
        <v>6</v>
      </c>
      <c r="D71" s="126">
        <f ca="1">D70-30</f>
        <v>-29.10759121178803</v>
      </c>
      <c r="E71" s="126"/>
      <c r="F71" s="126"/>
      <c r="G71" s="126"/>
      <c r="I71" s="11" t="s">
        <v>1110</v>
      </c>
      <c r="J71">
        <v>6</v>
      </c>
      <c r="K71">
        <f ca="1">K70-30</f>
        <v>-29.10759121178803</v>
      </c>
      <c r="O71" s="11"/>
    </row>
    <row r="72" spans="2:15" x14ac:dyDescent="0.2">
      <c r="B72" s="137" t="s">
        <v>1112</v>
      </c>
      <c r="C72" s="126">
        <f ca="1">C70+G66</f>
        <v>5.6497812253494084</v>
      </c>
      <c r="D72" s="126">
        <f ca="1">D71+G65</f>
        <v>-13.661386788506796</v>
      </c>
      <c r="E72" s="126"/>
      <c r="F72" s="137" t="s">
        <v>1121</v>
      </c>
      <c r="G72" s="138" t="s">
        <v>1120</v>
      </c>
      <c r="I72" s="11" t="s">
        <v>80</v>
      </c>
      <c r="J72">
        <v>7.5</v>
      </c>
      <c r="K72">
        <f ca="1">K71-10</f>
        <v>-39.107591211788034</v>
      </c>
      <c r="M72" s="11" t="s">
        <v>1121</v>
      </c>
      <c r="N72" s="114" t="s">
        <v>1120</v>
      </c>
      <c r="O72" s="11"/>
    </row>
    <row r="73" spans="2:15" x14ac:dyDescent="0.2">
      <c r="B73" s="137" t="s">
        <v>71</v>
      </c>
      <c r="C73" s="126">
        <f ca="1">C72+G67</f>
        <v>6.7497812253494089</v>
      </c>
      <c r="D73" s="126">
        <f ca="1">D72-15</f>
        <v>-28.661386788506796</v>
      </c>
      <c r="E73" s="126"/>
      <c r="F73" s="137" t="s">
        <v>1110</v>
      </c>
      <c r="G73" s="126">
        <f>C76/2</f>
        <v>6</v>
      </c>
      <c r="I73" s="11" t="s">
        <v>1111</v>
      </c>
      <c r="J73">
        <f ca="1">J70+N66</f>
        <v>5.6497812253494084</v>
      </c>
      <c r="K73">
        <f ca="1">K72+N65</f>
        <v>-23.6613867885068</v>
      </c>
      <c r="M73" s="11" t="s">
        <v>1110</v>
      </c>
      <c r="N73">
        <f ca="1">J77/2</f>
        <v>5.8124452833249176</v>
      </c>
      <c r="O73" s="11"/>
    </row>
    <row r="74" spans="2:15" x14ac:dyDescent="0.2">
      <c r="B74" s="137" t="s">
        <v>80</v>
      </c>
      <c r="C74" s="126">
        <f ca="1">C73+1.5</f>
        <v>8.2497812253494089</v>
      </c>
      <c r="D74" s="126">
        <f ca="1">D73-10</f>
        <v>-38.661386788506796</v>
      </c>
      <c r="E74" s="126"/>
      <c r="F74" s="137" t="s">
        <v>1106</v>
      </c>
      <c r="G74" s="126">
        <f>C76</f>
        <v>12</v>
      </c>
      <c r="I74" s="11" t="s">
        <v>1109</v>
      </c>
      <c r="J74">
        <f>J72+1.5</f>
        <v>9</v>
      </c>
      <c r="K74">
        <f ca="1">K73</f>
        <v>-23.6613867885068</v>
      </c>
      <c r="M74" s="11" t="s">
        <v>1106</v>
      </c>
      <c r="N74">
        <f ca="1">J77</f>
        <v>11.624890566649835</v>
      </c>
    </row>
    <row r="75" spans="2:15" x14ac:dyDescent="0.2">
      <c r="B75" s="137" t="s">
        <v>1111</v>
      </c>
      <c r="C75" s="126">
        <f ca="1">C73+G66</f>
        <v>8.274671838024112</v>
      </c>
      <c r="D75" s="126">
        <f ca="1">D74+G65</f>
        <v>-23.215182365225562</v>
      </c>
      <c r="E75" s="126"/>
      <c r="F75" s="137" t="s">
        <v>71</v>
      </c>
      <c r="G75" s="126">
        <f>C76/3</f>
        <v>4</v>
      </c>
      <c r="I75" s="11" t="s">
        <v>71</v>
      </c>
      <c r="J75">
        <f>J74+N67</f>
        <v>10.1</v>
      </c>
      <c r="K75">
        <f ca="1">K73-15</f>
        <v>-38.661386788506803</v>
      </c>
      <c r="M75" s="11" t="s">
        <v>71</v>
      </c>
      <c r="N75">
        <f ca="1">J77/3</f>
        <v>3.8749635222166119</v>
      </c>
    </row>
    <row r="76" spans="2:15" x14ac:dyDescent="0.2">
      <c r="B76" s="137" t="s">
        <v>1110</v>
      </c>
      <c r="C76" s="126">
        <f>12</f>
        <v>12</v>
      </c>
      <c r="D76" s="126">
        <f ca="1">D75-30</f>
        <v>-53.215182365225559</v>
      </c>
      <c r="E76" s="126"/>
      <c r="F76" s="137" t="s">
        <v>80</v>
      </c>
      <c r="G76" s="126">
        <f>C76</f>
        <v>12</v>
      </c>
      <c r="I76" s="11" t="s">
        <v>80</v>
      </c>
      <c r="J76">
        <f>J75+1.5</f>
        <v>11.6</v>
      </c>
      <c r="K76">
        <f ca="1">K75-10</f>
        <v>-48.661386788506803</v>
      </c>
      <c r="M76" s="11" t="s">
        <v>80</v>
      </c>
      <c r="N76">
        <f ca="1">J77/2</f>
        <v>5.8124452833249176</v>
      </c>
    </row>
    <row r="77" spans="2:15" x14ac:dyDescent="0.2">
      <c r="I77" s="11" t="s">
        <v>1101</v>
      </c>
      <c r="J77">
        <f ca="1">J75+N66</f>
        <v>11.624890612674704</v>
      </c>
      <c r="K77">
        <f ca="1">K76+N65-30</f>
        <v>-63.215182365225573</v>
      </c>
    </row>
  </sheetData>
  <mergeCells count="15">
    <mergeCell ref="B3:P4"/>
    <mergeCell ref="B6:C6"/>
    <mergeCell ref="E6:F6"/>
    <mergeCell ref="M6:P6"/>
    <mergeCell ref="H6:K6"/>
    <mergeCell ref="B63:G63"/>
    <mergeCell ref="I63:N63"/>
    <mergeCell ref="B48:G48"/>
    <mergeCell ref="I48:N48"/>
    <mergeCell ref="B25:C25"/>
    <mergeCell ref="E25:F25"/>
    <mergeCell ref="H25:K25"/>
    <mergeCell ref="M25:P25"/>
    <mergeCell ref="B45:N46"/>
    <mergeCell ref="P49:P5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237</vt:i4>
      </vt:variant>
    </vt:vector>
  </HeadingPairs>
  <TitlesOfParts>
    <vt:vector size="248" baseType="lpstr">
      <vt:lpstr>User Guide</vt:lpstr>
      <vt:lpstr>Jom Gabbar</vt:lpstr>
      <vt:lpstr>Badge of the Swarmguard</vt:lpstr>
      <vt:lpstr>StartingStats</vt:lpstr>
      <vt:lpstr>Changelog</vt:lpstr>
      <vt:lpstr>DPS</vt:lpstr>
      <vt:lpstr>Calcs</vt:lpstr>
      <vt:lpstr>Item Tables</vt:lpstr>
      <vt:lpstr>Rotation Analysis</vt:lpstr>
      <vt:lpstr>Server Specific</vt:lpstr>
      <vt:lpstr>Enchants</vt:lpstr>
      <vt:lpstr>ARCap</vt:lpstr>
      <vt:lpstr>BackEnchantList</vt:lpstr>
      <vt:lpstr>BackEnchantStats</vt:lpstr>
      <vt:lpstr>BackList</vt:lpstr>
      <vt:lpstr>BackStats</vt:lpstr>
      <vt:lpstr>Base2HDamage</vt:lpstr>
      <vt:lpstr>Base2HSpeed</vt:lpstr>
      <vt:lpstr>BaseDamage</vt:lpstr>
      <vt:lpstr>BaseMHDamage</vt:lpstr>
      <vt:lpstr>BaseMHSpeed</vt:lpstr>
      <vt:lpstr>BaseMiss</vt:lpstr>
      <vt:lpstr>BaseOHDamage</vt:lpstr>
      <vt:lpstr>BaseOHMiss</vt:lpstr>
      <vt:lpstr>BaseOHSpeed</vt:lpstr>
      <vt:lpstr>BaseSpeed</vt:lpstr>
      <vt:lpstr>BloodFury</vt:lpstr>
      <vt:lpstr>BloodFury20</vt:lpstr>
      <vt:lpstr>BossArmor</vt:lpstr>
      <vt:lpstr>BossArmor20</vt:lpstr>
      <vt:lpstr>BotS</vt:lpstr>
      <vt:lpstr>BRE</vt:lpstr>
      <vt:lpstr>BREArmorReduction20</vt:lpstr>
      <vt:lpstr>BREBoTS</vt:lpstr>
      <vt:lpstr>BTCD</vt:lpstr>
      <vt:lpstr>BTCrits</vt:lpstr>
      <vt:lpstr>BTHitMod</vt:lpstr>
      <vt:lpstr>BTHits</vt:lpstr>
      <vt:lpstr>ChestEnchantList</vt:lpstr>
      <vt:lpstr>ChestEnchantStats</vt:lpstr>
      <vt:lpstr>ChestList</vt:lpstr>
      <vt:lpstr>ChestStats</vt:lpstr>
      <vt:lpstr>CleaveCD</vt:lpstr>
      <vt:lpstr>CritCap</vt:lpstr>
      <vt:lpstr>Cruelty</vt:lpstr>
      <vt:lpstr>CrusaderMH20</vt:lpstr>
      <vt:lpstr>CrusaderOH20</vt:lpstr>
      <vt:lpstr>Deathwish</vt:lpstr>
      <vt:lpstr>DeathWishMod</vt:lpstr>
      <vt:lpstr>DWWeaponList</vt:lpstr>
      <vt:lpstr>DWWeaponStats</vt:lpstr>
      <vt:lpstr>EnemyLevel</vt:lpstr>
      <vt:lpstr>ExeCD</vt:lpstr>
      <vt:lpstr>ExeRage</vt:lpstr>
      <vt:lpstr>FeetEnchantList</vt:lpstr>
      <vt:lpstr>FeetEnchantStats</vt:lpstr>
      <vt:lpstr>FeetList</vt:lpstr>
      <vt:lpstr>FeetStats</vt:lpstr>
      <vt:lpstr>Felstriker</vt:lpstr>
      <vt:lpstr>Felstriker20</vt:lpstr>
      <vt:lpstr>FightDuration</vt:lpstr>
      <vt:lpstr>Final2HSpeed</vt:lpstr>
      <vt:lpstr>FinalMHSpeed</vt:lpstr>
      <vt:lpstr>FinalOHSpeed</vt:lpstr>
      <vt:lpstr>FinalOHSpeed20</vt:lpstr>
      <vt:lpstr>FinalSpeed</vt:lpstr>
      <vt:lpstr>FinalSpeed20</vt:lpstr>
      <vt:lpstr>Flurry</vt:lpstr>
      <vt:lpstr>FlurryUptime</vt:lpstr>
      <vt:lpstr>FlurryUptime20</vt:lpstr>
      <vt:lpstr>FSCrits</vt:lpstr>
      <vt:lpstr>FSGlancing</vt:lpstr>
      <vt:lpstr>FSOHCrits</vt:lpstr>
      <vt:lpstr>FSOHGlancing</vt:lpstr>
      <vt:lpstr>FSYellowCrits</vt:lpstr>
      <vt:lpstr>HamstringCD</vt:lpstr>
      <vt:lpstr>HandEnchantList</vt:lpstr>
      <vt:lpstr>HandEnchantStats</vt:lpstr>
      <vt:lpstr>HandList</vt:lpstr>
      <vt:lpstr>HandStats</vt:lpstr>
      <vt:lpstr>HeadEnchantList</vt:lpstr>
      <vt:lpstr>HeadEnchantStats</vt:lpstr>
      <vt:lpstr>HeadList</vt:lpstr>
      <vt:lpstr>HeadStats</vt:lpstr>
      <vt:lpstr>HoJConnects</vt:lpstr>
      <vt:lpstr>HoJConnects20</vt:lpstr>
      <vt:lpstr>HoJSwings</vt:lpstr>
      <vt:lpstr>HoJSwings20</vt:lpstr>
      <vt:lpstr>HSCD</vt:lpstr>
      <vt:lpstr>Impale</vt:lpstr>
      <vt:lpstr>ImpBS</vt:lpstr>
      <vt:lpstr>ImpCleave</vt:lpstr>
      <vt:lpstr>ImpDW</vt:lpstr>
      <vt:lpstr>ImpExe</vt:lpstr>
      <vt:lpstr>ImpOP</vt:lpstr>
      <vt:lpstr>ImpSlam</vt:lpstr>
      <vt:lpstr>IronfoeConnects</vt:lpstr>
      <vt:lpstr>IronfoeConnects20</vt:lpstr>
      <vt:lpstr>IronfoeSwings</vt:lpstr>
      <vt:lpstr>IronfoeSwings20</vt:lpstr>
      <vt:lpstr>JujuFlurry</vt:lpstr>
      <vt:lpstr>KotS</vt:lpstr>
      <vt:lpstr>LegEnchantList</vt:lpstr>
      <vt:lpstr>LegEnchantStats</vt:lpstr>
      <vt:lpstr>LegsEnchantList</vt:lpstr>
      <vt:lpstr>LegsEnchantStats</vt:lpstr>
      <vt:lpstr>LegsList</vt:lpstr>
      <vt:lpstr>LegsStats</vt:lpstr>
      <vt:lpstr>MHConnects</vt:lpstr>
      <vt:lpstr>MHConnects20</vt:lpstr>
      <vt:lpstr>MHEnchantDPS</vt:lpstr>
      <vt:lpstr>MHEnchantDPS20</vt:lpstr>
      <vt:lpstr>MHGlancingMod</vt:lpstr>
      <vt:lpstr>MHSwings</vt:lpstr>
      <vt:lpstr>MHSwings20</vt:lpstr>
      <vt:lpstr>MHWeaponEnchantList</vt:lpstr>
      <vt:lpstr>MHWeaponEnchantStats</vt:lpstr>
      <vt:lpstr>MHWeaponProcDPS</vt:lpstr>
      <vt:lpstr>MHWeaponProcDPS20</vt:lpstr>
      <vt:lpstr>MightyRagePot</vt:lpstr>
      <vt:lpstr>MobMitigation</vt:lpstr>
      <vt:lpstr>MobMitigation20</vt:lpstr>
      <vt:lpstr>MSCD</vt:lpstr>
      <vt:lpstr>NeckList</vt:lpstr>
      <vt:lpstr>NeckStats</vt:lpstr>
      <vt:lpstr>NetAC</vt:lpstr>
      <vt:lpstr>NetAP</vt:lpstr>
      <vt:lpstr>NetAP20</vt:lpstr>
      <vt:lpstr>NetCrit</vt:lpstr>
      <vt:lpstr>NetHaste</vt:lpstr>
      <vt:lpstr>NetHaste20</vt:lpstr>
      <vt:lpstr>NetHit</vt:lpstr>
      <vt:lpstr>NetHP</vt:lpstr>
      <vt:lpstr>NetOHCrit</vt:lpstr>
      <vt:lpstr>NetOHHit</vt:lpstr>
      <vt:lpstr>NetStr20</vt:lpstr>
      <vt:lpstr>Normalize</vt:lpstr>
      <vt:lpstr>OHEnchantDPS</vt:lpstr>
      <vt:lpstr>OHEnchantDPS20</vt:lpstr>
      <vt:lpstr>OHGlancingMod</vt:lpstr>
      <vt:lpstr>OHWeaponEnchantList</vt:lpstr>
      <vt:lpstr>OHWeaponEnchantStats</vt:lpstr>
      <vt:lpstr>OHWeaponProcDPS</vt:lpstr>
      <vt:lpstr>OHWeaponProcDPS20</vt:lpstr>
      <vt:lpstr>OneHSpec</vt:lpstr>
      <vt:lpstr>OPCrits</vt:lpstr>
      <vt:lpstr>OPDodges</vt:lpstr>
      <vt:lpstr>OPHitMod</vt:lpstr>
      <vt:lpstr>OPHits</vt:lpstr>
      <vt:lpstr>OverpowerCD</vt:lpstr>
      <vt:lpstr>Patch</vt:lpstr>
      <vt:lpstr>ProcChance</vt:lpstr>
      <vt:lpstr>RagePHMH</vt:lpstr>
      <vt:lpstr>RagePHOH</vt:lpstr>
      <vt:lpstr>RagePS</vt:lpstr>
      <vt:lpstr>RagePS20</vt:lpstr>
      <vt:lpstr>RagePSMH</vt:lpstr>
      <vt:lpstr>RagePSOH</vt:lpstr>
      <vt:lpstr>RangedList</vt:lpstr>
      <vt:lpstr>RangedStats</vt:lpstr>
      <vt:lpstr>Realm</vt:lpstr>
      <vt:lpstr>RingList</vt:lpstr>
      <vt:lpstr>RingStats</vt:lpstr>
      <vt:lpstr>ShoulderEnchantList</vt:lpstr>
      <vt:lpstr>ShoulderEnchantStats</vt:lpstr>
      <vt:lpstr>ShoulderList</vt:lpstr>
      <vt:lpstr>ShoulderStats</vt:lpstr>
      <vt:lpstr>SkillDiffMH</vt:lpstr>
      <vt:lpstr>SkillDiffOH</vt:lpstr>
      <vt:lpstr>SlamCD</vt:lpstr>
      <vt:lpstr>Spell_Crit</vt:lpstr>
      <vt:lpstr>SSConnects</vt:lpstr>
      <vt:lpstr>SSConnects20</vt:lpstr>
      <vt:lpstr>SSDPS</vt:lpstr>
      <vt:lpstr>SSDPS20</vt:lpstr>
      <vt:lpstr>SSSwings</vt:lpstr>
      <vt:lpstr>SSSwings20</vt:lpstr>
      <vt:lpstr>StartingStatsList</vt:lpstr>
      <vt:lpstr>StartingStatsRaces</vt:lpstr>
      <vt:lpstr>SwordSpec</vt:lpstr>
      <vt:lpstr>THEnchantDPS</vt:lpstr>
      <vt:lpstr>THEnchantDPS20</vt:lpstr>
      <vt:lpstr>THSpec</vt:lpstr>
      <vt:lpstr>THWeaponList</vt:lpstr>
      <vt:lpstr>THWeaponProcDPS</vt:lpstr>
      <vt:lpstr>THWeaponProcDPS20</vt:lpstr>
      <vt:lpstr>THWeaponStats</vt:lpstr>
      <vt:lpstr>TotalDPS</vt:lpstr>
      <vt:lpstr>Toughness</vt:lpstr>
      <vt:lpstr>Trinket1DPS</vt:lpstr>
      <vt:lpstr>Trinket1DPS20</vt:lpstr>
      <vt:lpstr>Trinket2DPS</vt:lpstr>
      <vt:lpstr>Trinket2DPS20</vt:lpstr>
      <vt:lpstr>TrinketDPS</vt:lpstr>
      <vt:lpstr>TrinketList</vt:lpstr>
      <vt:lpstr>TrinketStats</vt:lpstr>
      <vt:lpstr>UnbridledWrath</vt:lpstr>
      <vt:lpstr>WaistList</vt:lpstr>
      <vt:lpstr>WaistStats</vt:lpstr>
      <vt:lpstr>WeaponSkillMH</vt:lpstr>
      <vt:lpstr>WeaponSkillOH</vt:lpstr>
      <vt:lpstr>WhiteBlocks</vt:lpstr>
      <vt:lpstr>WhiteCrits</vt:lpstr>
      <vt:lpstr>WhiteDodges</vt:lpstr>
      <vt:lpstr>WhiteDPS</vt:lpstr>
      <vt:lpstr>WhiteDPS20</vt:lpstr>
      <vt:lpstr>WhiteGlancingBlows</vt:lpstr>
      <vt:lpstr>WhiteHitMod</vt:lpstr>
      <vt:lpstr>WhiteHitMod20</vt:lpstr>
      <vt:lpstr>WhiteHits</vt:lpstr>
      <vt:lpstr>WhiteMHConnects</vt:lpstr>
      <vt:lpstr>WhiteMHConnects20</vt:lpstr>
      <vt:lpstr>WhiteMHSwings</vt:lpstr>
      <vt:lpstr>WhiteMHSwings20</vt:lpstr>
      <vt:lpstr>WhiteMisses</vt:lpstr>
      <vt:lpstr>WhiteOHConnects</vt:lpstr>
      <vt:lpstr>WhiteOHConnects20</vt:lpstr>
      <vt:lpstr>WhiteOHCrits</vt:lpstr>
      <vt:lpstr>WhiteOHDodges</vt:lpstr>
      <vt:lpstr>WhiteOHGlancing</vt:lpstr>
      <vt:lpstr>WhiteOHHitMod</vt:lpstr>
      <vt:lpstr>WhiteOHHitMod20</vt:lpstr>
      <vt:lpstr>WhiteOHHits</vt:lpstr>
      <vt:lpstr>WhiteOHMisses</vt:lpstr>
      <vt:lpstr>WhiteOHSwings</vt:lpstr>
      <vt:lpstr>WhiteOHSwings20</vt:lpstr>
      <vt:lpstr>WhiteParries</vt:lpstr>
      <vt:lpstr>WindfuryConnects</vt:lpstr>
      <vt:lpstr>WindfuryConnects20</vt:lpstr>
      <vt:lpstr>WindfuryDPS</vt:lpstr>
      <vt:lpstr>WindfuryDPS20</vt:lpstr>
      <vt:lpstr>WindfurySwings</vt:lpstr>
      <vt:lpstr>WindfurySwings20</vt:lpstr>
      <vt:lpstr>WristEnchantList</vt:lpstr>
      <vt:lpstr>WristEnchantStats</vt:lpstr>
      <vt:lpstr>WristList</vt:lpstr>
      <vt:lpstr>WristStats</vt:lpstr>
      <vt:lpstr>WWCD</vt:lpstr>
      <vt:lpstr>YellowConnects</vt:lpstr>
      <vt:lpstr>YellowConnects20</vt:lpstr>
      <vt:lpstr>YellowCrits</vt:lpstr>
      <vt:lpstr>YellowDodges</vt:lpstr>
      <vt:lpstr>YellowHitMod</vt:lpstr>
      <vt:lpstr>YellowHitMod20</vt:lpstr>
      <vt:lpstr>YellowHits</vt:lpstr>
      <vt:lpstr>YellowMisses</vt:lpstr>
      <vt:lpstr>YellowSwings</vt:lpstr>
      <vt:lpstr>YellowSwings20</vt:lpstr>
    </vt:vector>
  </TitlesOfParts>
  <Company>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IBM_USER</dc:creator>
  <cp:lastModifiedBy>Office</cp:lastModifiedBy>
  <cp:lastPrinted>2015-10-07T09:40:58Z</cp:lastPrinted>
  <dcterms:created xsi:type="dcterms:W3CDTF">2006-05-15T19:32:10Z</dcterms:created>
  <dcterms:modified xsi:type="dcterms:W3CDTF">2019-04-22T11:49:39Z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6c2fb8de-96d1-4289-a0c0-7d84ef30518a</vt:lpwstr>
  </property>
</Properties>
</file>